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S:\Denise RD Files\Board Meetings\2025\March 18\"/>
    </mc:Choice>
  </mc:AlternateContent>
  <xr:revisionPtr revIDLastSave="0" documentId="14_{FBFE19CA-7564-4631-9283-41C475A9C5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5" i="1" l="1"/>
  <c r="C128" i="1"/>
  <c r="M78" i="1" l="1"/>
  <c r="M72" i="1"/>
  <c r="M67" i="1"/>
  <c r="M62" i="1"/>
  <c r="M58" i="1"/>
  <c r="M35" i="1"/>
  <c r="M29" i="1" l="1"/>
  <c r="M23" i="1"/>
  <c r="M13" i="1"/>
  <c r="C122" i="1" l="1"/>
  <c r="E19" i="1" l="1"/>
  <c r="F19" i="1"/>
  <c r="G19" i="1"/>
  <c r="J19" i="1"/>
  <c r="K19" i="1"/>
  <c r="M14" i="1"/>
  <c r="D9" i="1"/>
  <c r="E9" i="1"/>
  <c r="F9" i="1"/>
  <c r="G9" i="1"/>
  <c r="J9" i="1"/>
  <c r="K9" i="1"/>
  <c r="L9" i="1"/>
  <c r="M9" i="1"/>
  <c r="D85" i="1"/>
  <c r="E85" i="1"/>
  <c r="F85" i="1"/>
  <c r="G85" i="1"/>
  <c r="J85" i="1"/>
  <c r="K85" i="1"/>
  <c r="D56" i="1"/>
  <c r="D19" i="1" s="1"/>
  <c r="E56" i="1"/>
  <c r="F56" i="1"/>
  <c r="G56" i="1"/>
  <c r="J56" i="1"/>
  <c r="K56" i="1"/>
  <c r="C13" i="1"/>
  <c r="C7" i="1"/>
  <c r="N89" i="1"/>
  <c r="M85" i="1" l="1"/>
  <c r="M20" i="1" s="1"/>
  <c r="M56" i="1"/>
  <c r="M15" i="1" s="1"/>
  <c r="L67" i="1"/>
  <c r="L62" i="1"/>
  <c r="L58" i="1"/>
  <c r="L85" i="1" s="1"/>
  <c r="M16" i="1" l="1"/>
  <c r="M17" i="1" s="1"/>
  <c r="M19" i="1"/>
  <c r="L35" i="1"/>
  <c r="L29" i="1"/>
  <c r="L23" i="1" l="1"/>
  <c r="L56" i="1" s="1"/>
  <c r="L19" i="1" s="1"/>
  <c r="C92" i="1" l="1"/>
  <c r="C94" i="1" s="1"/>
  <c r="B100" i="1"/>
  <c r="C100" i="1"/>
  <c r="C102" i="1" s="1"/>
  <c r="B102" i="1"/>
  <c r="L117" i="1" l="1"/>
  <c r="L119" i="1" s="1"/>
  <c r="L109" i="1"/>
  <c r="L111" i="1" s="1"/>
  <c r="B119" i="1"/>
  <c r="B117" i="1"/>
  <c r="E115" i="1"/>
  <c r="E117" i="1" s="1"/>
  <c r="E119" i="1" s="1"/>
  <c r="E107" i="1"/>
  <c r="E109" i="1" s="1"/>
  <c r="E111" i="1" s="1"/>
  <c r="D15" i="1" l="1"/>
  <c r="E15" i="1"/>
  <c r="F15" i="1"/>
  <c r="G15" i="1"/>
  <c r="J15" i="1"/>
  <c r="K15" i="1"/>
  <c r="L15" i="1"/>
  <c r="D14" i="1"/>
  <c r="D20" i="1" s="1"/>
  <c r="E14" i="1"/>
  <c r="E20" i="1" s="1"/>
  <c r="F14" i="1"/>
  <c r="F20" i="1" s="1"/>
  <c r="G14" i="1"/>
  <c r="G20" i="1" s="1"/>
  <c r="J14" i="1"/>
  <c r="J20" i="1" s="1"/>
  <c r="K14" i="1"/>
  <c r="K20" i="1" s="1"/>
  <c r="L14" i="1"/>
  <c r="L20" i="1" s="1"/>
  <c r="D16" i="1"/>
  <c r="E16" i="1"/>
  <c r="F16" i="1"/>
  <c r="G16" i="1"/>
  <c r="J16" i="1"/>
  <c r="K16" i="1"/>
  <c r="G17" i="1" l="1"/>
  <c r="L16" i="1"/>
  <c r="L17" i="1" s="1"/>
  <c r="F17" i="1"/>
  <c r="K17" i="1"/>
  <c r="E17" i="1"/>
  <c r="J17" i="1"/>
  <c r="D17" i="1"/>
  <c r="C85" i="1"/>
  <c r="C56" i="1"/>
  <c r="C16" i="1" l="1"/>
  <c r="C15" i="1"/>
  <c r="C17" i="1" l="1"/>
  <c r="C14" i="1"/>
  <c r="C9" i="1"/>
  <c r="C19" i="1" l="1"/>
  <c r="E90" i="1"/>
  <c r="E92" i="1" s="1"/>
  <c r="E94" i="1" s="1"/>
  <c r="C20" i="1"/>
  <c r="E98" i="1"/>
  <c r="E100" i="1" s="1"/>
  <c r="E102" i="1" s="1"/>
  <c r="I51" i="1"/>
  <c r="H54" i="1"/>
  <c r="I54" i="1"/>
  <c r="H67" i="1" l="1"/>
  <c r="H58" i="1"/>
  <c r="H35" i="1"/>
  <c r="H23" i="1"/>
  <c r="H56" i="1" l="1"/>
  <c r="H15" i="1" s="1"/>
  <c r="H17" i="1" s="1"/>
  <c r="I13" i="1"/>
  <c r="H13" i="1" l="1"/>
  <c r="H14" i="1" s="1"/>
  <c r="H7" i="1"/>
  <c r="H9" i="1" s="1"/>
  <c r="H19" i="1" s="1"/>
  <c r="I11" i="1" l="1"/>
  <c r="I6" i="1" l="1"/>
  <c r="I7" i="1"/>
  <c r="I8" i="1"/>
  <c r="I12" i="1"/>
  <c r="I14" i="1" s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9" i="1"/>
  <c r="I40" i="1"/>
  <c r="I41" i="1"/>
  <c r="I42" i="1"/>
  <c r="I43" i="1"/>
  <c r="I44" i="1"/>
  <c r="I45" i="1"/>
  <c r="I46" i="1"/>
  <c r="I47" i="1"/>
  <c r="I48" i="1"/>
  <c r="I50" i="1"/>
  <c r="I55" i="1"/>
  <c r="I59" i="1"/>
  <c r="I60" i="1"/>
  <c r="I61" i="1"/>
  <c r="I62" i="1"/>
  <c r="I63" i="1"/>
  <c r="I64" i="1"/>
  <c r="I65" i="1"/>
  <c r="I66" i="1"/>
  <c r="I67" i="1"/>
  <c r="I68" i="1"/>
  <c r="I69" i="1"/>
  <c r="I71" i="1"/>
  <c r="I72" i="1"/>
  <c r="I73" i="1"/>
  <c r="I74" i="1"/>
  <c r="I75" i="1"/>
  <c r="I76" i="1"/>
  <c r="I77" i="1"/>
  <c r="I78" i="1"/>
  <c r="I79" i="1"/>
  <c r="I80" i="1"/>
  <c r="I81" i="1"/>
  <c r="I82" i="1"/>
  <c r="I84" i="1"/>
  <c r="I5" i="1"/>
  <c r="I9" i="1" s="1"/>
  <c r="I58" i="1" l="1"/>
  <c r="I23" i="1"/>
  <c r="I56" i="1" l="1"/>
  <c r="I19" i="1" s="1"/>
  <c r="I85" i="1"/>
  <c r="I20" i="1" s="1"/>
  <c r="H55" i="1"/>
  <c r="H84" i="1"/>
  <c r="H85" i="1" s="1"/>
  <c r="H20" i="1" s="1"/>
  <c r="I16" i="1" l="1"/>
  <c r="I15" i="1"/>
  <c r="I17" i="1" s="1"/>
  <c r="H16" i="1"/>
  <c r="C11" i="2"/>
  <c r="H11" i="2" s="1"/>
  <c r="H12" i="2"/>
  <c r="F6" i="2"/>
  <c r="C6" i="2"/>
  <c r="G3" i="2"/>
  <c r="E4" i="2"/>
  <c r="E3" i="2"/>
  <c r="E6" i="2" s="1"/>
  <c r="D4" i="2"/>
  <c r="D3" i="2"/>
  <c r="G6" i="2" l="1"/>
  <c r="D6" i="2"/>
  <c r="H6" i="2" l="1"/>
</calcChain>
</file>

<file path=xl/sharedStrings.xml><?xml version="1.0" encoding="utf-8"?>
<sst xmlns="http://schemas.openxmlformats.org/spreadsheetml/2006/main" count="325" uniqueCount="172">
  <si>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</si>
  <si>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</si>
  <si>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</si>
  <si>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</si>
  <si>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</si>
  <si>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</si>
  <si>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</si>
  <si>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</si>
  <si>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</si>
  <si>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</si>
  <si>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</si>
  <si>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</si>
  <si>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</si>
  <si>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</si>
  <si>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</si>
  <si>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</si>
  <si>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</si>
  <si>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</si>
  <si>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</si>
  <si>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</si>
  <si>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</si>
  <si>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</si>
  <si>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</si>
  <si>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</si>
  <si>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</si>
  <si>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</si>
  <si>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</si>
  <si>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>Total WD Expenses</t>
  </si>
  <si>
    <t>Insurance -Property &amp; Liab</t>
  </si>
  <si>
    <t>M&amp;O Expenses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</si>
  <si>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</si>
  <si>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</si>
  <si>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</si>
  <si>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</si>
  <si>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</si>
  <si>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</si>
  <si>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</si>
  <si>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</si>
  <si>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</si>
  <si>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</si>
  <si>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</si>
  <si>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</si>
  <si>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</si>
  <si>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</si>
  <si>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</si>
  <si>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</si>
  <si>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</si>
  <si>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</si>
  <si>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</si>
  <si>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</si>
  <si>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</si>
  <si>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</si>
  <si>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</si>
  <si>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</si>
  <si>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</si>
  <si>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</si>
  <si>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SCADA Maintenance</t>
  </si>
  <si>
    <t>WDCWA Power Reimbursement</t>
  </si>
  <si>
    <t>RD Employee Salaries, etc.</t>
  </si>
  <si>
    <t>Contigency Reserve</t>
  </si>
  <si>
    <t>Notes</t>
  </si>
  <si>
    <t>Cross Canal Maintenance</t>
  </si>
  <si>
    <t>Jesse</t>
  </si>
  <si>
    <t>overhead &amp; office</t>
  </si>
  <si>
    <t>overhead &amp; office supplies</t>
  </si>
  <si>
    <t>ACWA, CSDA, NCWA</t>
  </si>
  <si>
    <t>YSGA, ACWA, CSDA, NCWA</t>
  </si>
  <si>
    <t>Interest Expense (Backhoe)</t>
  </si>
  <si>
    <t xml:space="preserve"> </t>
  </si>
  <si>
    <t>Actual as of 2/28/21</t>
  </si>
  <si>
    <t>Jesse, Marti &amp; % of CPG employees</t>
  </si>
  <si>
    <t>Jesse &amp; Marti, % of CPG Employees</t>
  </si>
  <si>
    <t>Capital Expense - Backhoe</t>
  </si>
  <si>
    <t>placeholder</t>
  </si>
  <si>
    <t>same as last yr</t>
  </si>
  <si>
    <t>actual</t>
  </si>
  <si>
    <t>increased</t>
  </si>
  <si>
    <t>same as last year</t>
  </si>
  <si>
    <t xml:space="preserve">same as last yr </t>
  </si>
  <si>
    <t xml:space="preserve">Actual as of </t>
  </si>
  <si>
    <t>increased a bit</t>
  </si>
  <si>
    <t>Agreement term Jan 1 - Dec 31, 22</t>
  </si>
  <si>
    <t>Qtrly expense WDCWA + 2% &amp; Eaton Maint Agrmt</t>
  </si>
  <si>
    <t>increase a bit</t>
  </si>
  <si>
    <t>increased for diesel rates</t>
  </si>
  <si>
    <t>increased for rates</t>
  </si>
  <si>
    <t>Reserve SINKING FUND</t>
  </si>
  <si>
    <t>reduced a bit, incld's vehicles, backhoe, etc.</t>
  </si>
  <si>
    <t>Capital Expense - Pumps</t>
  </si>
  <si>
    <t>office, clubhouse, % RD -increased a bit</t>
  </si>
  <si>
    <t xml:space="preserve">reduced a bit </t>
  </si>
  <si>
    <t>reduced a bit</t>
  </si>
  <si>
    <t>no increase</t>
  </si>
  <si>
    <t>increased for FMAP supplies</t>
  </si>
  <si>
    <t>reduced from $60K? Added $40K capital exp</t>
  </si>
  <si>
    <t>includes vehicles, backhoe, etc. more in M&amp;O (FMAP)</t>
  </si>
  <si>
    <t xml:space="preserve"> reduce in WD &amp; add in MO </t>
  </si>
  <si>
    <t xml:space="preserve">228K  2nd Install 22/23 Rent roll , 1/2 Admin 225K + est. 1st 1/2 of 23/24 water $500K </t>
  </si>
  <si>
    <t>increased from 500K</t>
  </si>
  <si>
    <t>reduced from $10K</t>
  </si>
  <si>
    <t>Approved Budget 22/23</t>
  </si>
  <si>
    <t xml:space="preserve"> Cash </t>
  </si>
  <si>
    <t xml:space="preserve"> Plus:  YTD Income </t>
  </si>
  <si>
    <t xml:space="preserve"> Less: YTD Expenses </t>
  </si>
  <si>
    <t xml:space="preserve"> Less:  Reserve/Sinking Fund </t>
  </si>
  <si>
    <t>Projected Cash 6/30/23</t>
  </si>
  <si>
    <t>Budgeted Income</t>
  </si>
  <si>
    <t>Budgeted Expenses</t>
  </si>
  <si>
    <t>3 years reserves</t>
  </si>
  <si>
    <t xml:space="preserve"> Less:  Reserve</t>
  </si>
  <si>
    <t xml:space="preserve"> Water Delivery Cash at 7/1/23</t>
  </si>
  <si>
    <t>WDCWA + 2% and Maint Agreement</t>
  </si>
  <si>
    <t xml:space="preserve">Interwest </t>
  </si>
  <si>
    <t>Jesse, Marti &amp; % of CPG</t>
  </si>
  <si>
    <t>increased (Desmond)</t>
  </si>
  <si>
    <t>Decreased a bit (Spent $30K in 2023)</t>
  </si>
  <si>
    <t>place holder</t>
  </si>
  <si>
    <t>increased a bit $137K rec'd in 2023</t>
  </si>
  <si>
    <t>Increase 2%</t>
  </si>
  <si>
    <t>Agreement term Jan 1 - Dec 31, 2023</t>
  </si>
  <si>
    <t>reduced (capital expense)</t>
  </si>
  <si>
    <t>increase for FMAP expenses</t>
  </si>
  <si>
    <t>decrease (Capital Expense)</t>
  </si>
  <si>
    <t xml:space="preserve">overhead &amp; office </t>
  </si>
  <si>
    <t>reduced a bit (spent $5K)</t>
  </si>
  <si>
    <t>reduced a bit (spent $25K)</t>
  </si>
  <si>
    <t>reduced  applies more flood</t>
  </si>
  <si>
    <t>increased (spent $820K in 2023)</t>
  </si>
  <si>
    <t xml:space="preserve"> Balance Cash </t>
  </si>
  <si>
    <t xml:space="preserve"> O &amp; M  Cash at 7/1/23</t>
  </si>
  <si>
    <t xml:space="preserve">Actual Cash </t>
  </si>
  <si>
    <t xml:space="preserve">Projected Cash </t>
  </si>
  <si>
    <t>$452K 2nd Install 23/24, 1/2 Admin $74K + Est. 1/2 of 24/25 Water $526K+$16K(Addt'l irrigation-Wehah)</t>
  </si>
  <si>
    <t>Capital Expense - Pump/Well Repair</t>
  </si>
  <si>
    <t>$40K Pump $60K Well</t>
  </si>
  <si>
    <t xml:space="preserve"> Expendable Cash at 7/31/23</t>
  </si>
  <si>
    <t>ACTUAL as of 4/30/24</t>
  </si>
  <si>
    <t>Agreement term Jan 1 - Dec 31, 24</t>
  </si>
  <si>
    <t xml:space="preserve">increased </t>
  </si>
  <si>
    <t>same as last year (overhead &amp; office supplies)</t>
  </si>
  <si>
    <t>same as last year (audit)</t>
  </si>
  <si>
    <t>same - audit</t>
  </si>
  <si>
    <t>office, clubhouse, % RD -increased a bit (flood pumping)</t>
  </si>
  <si>
    <t xml:space="preserve"> Water Delivery Cash at 7/1/24</t>
  </si>
  <si>
    <t xml:space="preserve"> Expendable Cash at </t>
  </si>
  <si>
    <t xml:space="preserve"> O &amp; M  Cash at 7/1/24</t>
  </si>
  <si>
    <t>Qtrly expense WDCWA + 2% &amp; Dynasty Maint Agrmt</t>
  </si>
  <si>
    <t xml:space="preserve">includes vehicles, backhoe, etc. </t>
  </si>
  <si>
    <t>interest &amp; potential sale of pickup</t>
  </si>
  <si>
    <t xml:space="preserve">426K  2nd Install 23/24 Rent roll , 1/2 Admin 86K + est. 1st 1/2 of 24/25 water $482K </t>
  </si>
  <si>
    <t>24 Pump station rebuild &amp; others</t>
  </si>
  <si>
    <t>DWR FMAP Agreement 2024</t>
  </si>
  <si>
    <t>RD Outside Consultant</t>
  </si>
  <si>
    <t>new category (Roger Cornwell)</t>
  </si>
  <si>
    <t>allowance for possible flood issues</t>
  </si>
  <si>
    <t>Approved Budget 24/25</t>
  </si>
  <si>
    <t>(David's Engineering)</t>
  </si>
  <si>
    <t>Maintenance &amp; Operation</t>
  </si>
  <si>
    <t>Water Delivery</t>
  </si>
  <si>
    <t>Total</t>
  </si>
  <si>
    <t xml:space="preserve">Intake Erosion </t>
  </si>
  <si>
    <t>Lister Construction 20% billed to WDCWA</t>
  </si>
  <si>
    <t>potential sale of p/u &amp; 20% WDCWA Erosion</t>
  </si>
  <si>
    <t>Actual through 2/28/25</t>
  </si>
  <si>
    <t>Cash on hand 2/28/25</t>
  </si>
  <si>
    <t>Anticipated Revenue thru 6/30/25</t>
  </si>
  <si>
    <t>FMAP</t>
  </si>
  <si>
    <t>1st Install Water</t>
  </si>
  <si>
    <t>Power Reimbursements-WDCWA</t>
  </si>
  <si>
    <t>Anticipated Expense thru 6/30/25</t>
  </si>
  <si>
    <t>Capital Expenses (Pump Stations)</t>
  </si>
  <si>
    <t>Capital Expenses (Cross Byplass Repair)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</si>
</sst>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[$$-409]* #,##0.00_);_([$$-409]* \(#,##0.00\);_([$$-409]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Times New Roman"/>
      <family val="1"/>
    </font>
    <font>
      <sz val="10"/>
      <name val="Times New Roman"/>
      <family val="1"/>
    </font>
    <font>
      <sz val="14"/>
      <color rgb="FFFF0000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0" applyFont="1"/>
    <xf numFmtId="43" fontId="3" fillId="0" borderId="5" xfId="0" applyNumberFormat="1" applyFont="1" applyBorder="1"/>
    <xf numFmtId="0" fontId="4" fillId="0" borderId="0" xfId="0" applyFont="1"/>
    <xf numFmtId="0" fontId="6" fillId="0" borderId="0" xfId="0" applyFont="1"/>
    <xf numFmtId="0" fontId="6" fillId="0" borderId="2" xfId="0" applyFont="1" applyBorder="1"/>
    <xf numFmtId="0" fontId="7" fillId="0" borderId="0" xfId="0" applyFont="1"/>
    <xf numFmtId="0" fontId="6" fillId="2" borderId="0" xfId="0" applyFont="1" applyFill="1"/>
    <xf numFmtId="44" fontId="2" fillId="0" borderId="0" xfId="2" applyFont="1"/>
    <xf numFmtId="44" fontId="2" fillId="0" borderId="0" xfId="2" applyFont="1" applyBorder="1"/>
    <xf numFmtId="44" fontId="5" fillId="0" borderId="0" xfId="2" applyFont="1" applyFill="1" applyBorder="1" applyAlignment="1"/>
    <xf numFmtId="43" fontId="5" fillId="0" borderId="0" xfId="1" applyFont="1" applyFill="1" applyBorder="1" applyAlignment="1">
      <alignment horizontal="right"/>
    </xf>
    <xf numFmtId="0" fontId="9" fillId="0" borderId="0" xfId="0" applyFont="1"/>
    <xf numFmtId="0" fontId="10" fillId="0" borderId="0" xfId="0" applyFont="1"/>
    <xf numFmtId="164" fontId="10" fillId="0" borderId="0" xfId="0" applyNumberFormat="1" applyFont="1"/>
    <xf numFmtId="164" fontId="0" fillId="0" borderId="0" xfId="0" applyNumberFormat="1"/>
    <xf numFmtId="0" fontId="12" fillId="0" borderId="0" xfId="0" applyFont="1"/>
    <xf numFmtId="0" fontId="10" fillId="0" borderId="0" xfId="0" applyFont="1" applyAlignment="1">
      <alignment horizontal="center"/>
    </xf>
    <xf numFmtId="4" fontId="10" fillId="0" borderId="0" xfId="0" applyNumberFormat="1" applyFont="1"/>
    <xf numFmtId="164" fontId="11" fillId="0" borderId="0" xfId="0" applyNumberFormat="1" applyFont="1"/>
    <xf numFmtId="0" fontId="2" fillId="3" borderId="0" xfId="0" applyFont="1" applyFill="1"/>
    <xf numFmtId="44" fontId="6" fillId="3" borderId="0" xfId="2" applyFont="1" applyFill="1"/>
    <xf numFmtId="165" fontId="4" fillId="0" borderId="0" xfId="0" applyNumberFormat="1" applyFont="1"/>
    <xf numFmtId="165" fontId="6" fillId="0" borderId="1" xfId="0" applyNumberFormat="1" applyFont="1" applyBorder="1"/>
    <xf numFmtId="165" fontId="6" fillId="2" borderId="0" xfId="0" applyNumberFormat="1" applyFont="1" applyFill="1"/>
    <xf numFmtId="165" fontId="2" fillId="0" borderId="0" xfId="0" applyNumberFormat="1" applyFont="1"/>
    <xf numFmtId="165" fontId="6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6" fillId="3" borderId="0" xfId="0" applyNumberFormat="1" applyFont="1" applyFill="1" applyAlignment="1">
      <alignment horizontal="right"/>
    </xf>
    <xf numFmtId="165" fontId="2" fillId="3" borderId="0" xfId="0" applyNumberFormat="1" applyFont="1" applyFill="1"/>
    <xf numFmtId="165" fontId="2" fillId="3" borderId="6" xfId="0" applyNumberFormat="1" applyFont="1" applyFill="1" applyBorder="1"/>
    <xf numFmtId="165" fontId="9" fillId="0" borderId="0" xfId="0" applyNumberFormat="1" applyFont="1"/>
    <xf numFmtId="165" fontId="5" fillId="0" borderId="0" xfId="0" applyNumberFormat="1" applyFont="1"/>
    <xf numFmtId="165" fontId="5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44" fontId="9" fillId="0" borderId="0" xfId="2" applyFont="1" applyFill="1" applyBorder="1" applyAlignment="1"/>
    <xf numFmtId="165" fontId="8" fillId="0" borderId="0" xfId="0" applyNumberFormat="1" applyFont="1"/>
    <xf numFmtId="44" fontId="5" fillId="0" borderId="4" xfId="2" applyFont="1" applyFill="1" applyBorder="1" applyAlignment="1"/>
    <xf numFmtId="165" fontId="3" fillId="0" borderId="2" xfId="0" applyNumberFormat="1" applyFont="1" applyBorder="1" applyAlignment="1">
      <alignment horizontal="right"/>
    </xf>
    <xf numFmtId="43" fontId="9" fillId="0" borderId="0" xfId="0" applyNumberFormat="1" applyFont="1" applyAlignment="1">
      <alignment horizontal="left"/>
    </xf>
    <xf numFmtId="44" fontId="5" fillId="3" borderId="7" xfId="2" applyFont="1" applyFill="1" applyBorder="1" applyAlignment="1"/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6" fillId="0" borderId="8" xfId="0" applyFont="1" applyBorder="1"/>
    <xf numFmtId="0" fontId="7" fillId="0" borderId="9" xfId="0" applyFont="1" applyBorder="1" applyAlignment="1">
      <alignment horizontal="center" wrapText="1"/>
    </xf>
    <xf numFmtId="0" fontId="4" fillId="0" borderId="7" xfId="0" applyFont="1" applyBorder="1"/>
    <xf numFmtId="44" fontId="7" fillId="0" borderId="0" xfId="0" applyNumberFormat="1" applyFont="1"/>
    <xf numFmtId="44" fontId="7" fillId="0" borderId="6" xfId="0" applyNumberFormat="1" applyFont="1" applyBorder="1"/>
    <xf numFmtId="0" fontId="15" fillId="3" borderId="0" xfId="0" applyFont="1" applyFill="1" applyAlignment="1">
      <alignment horizontal="center" wrapText="1"/>
    </xf>
    <xf numFmtId="44" fontId="7" fillId="3" borderId="0" xfId="0" applyNumberFormat="1" applyFont="1" applyFill="1"/>
    <xf numFmtId="44" fontId="7" fillId="3" borderId="6" xfId="0" applyNumberFormat="1" applyFont="1" applyFill="1" applyBorder="1"/>
    <xf numFmtId="0" fontId="6" fillId="0" borderId="2" xfId="0" applyFont="1" applyBorder="1" applyAlignment="1">
      <alignment horizontal="center" wrapText="1"/>
    </xf>
    <xf numFmtId="0" fontId="4" fillId="4" borderId="0" xfId="0" applyFont="1" applyFill="1"/>
    <xf numFmtId="0" fontId="6" fillId="4" borderId="2" xfId="0" applyFont="1" applyFill="1" applyBorder="1" applyAlignment="1">
      <alignment horizontal="center" wrapText="1"/>
    </xf>
    <xf numFmtId="0" fontId="6" fillId="4" borderId="0" xfId="0" applyFont="1" applyFill="1"/>
    <xf numFmtId="44" fontId="5" fillId="4" borderId="0" xfId="2" applyFont="1" applyFill="1" applyBorder="1" applyAlignment="1"/>
    <xf numFmtId="44" fontId="5" fillId="4" borderId="4" xfId="2" applyFont="1" applyFill="1" applyBorder="1" applyAlignment="1"/>
    <xf numFmtId="0" fontId="2" fillId="4" borderId="0" xfId="0" applyFont="1" applyFill="1"/>
    <xf numFmtId="44" fontId="9" fillId="4" borderId="0" xfId="2" applyFont="1" applyFill="1" applyBorder="1" applyAlignment="1"/>
    <xf numFmtId="44" fontId="5" fillId="5" borderId="0" xfId="2" applyFont="1" applyFill="1" applyBorder="1" applyAlignment="1"/>
    <xf numFmtId="165" fontId="6" fillId="6" borderId="2" xfId="0" applyNumberFormat="1" applyFont="1" applyFill="1" applyBorder="1" applyAlignment="1">
      <alignment horizontal="center" wrapText="1"/>
    </xf>
    <xf numFmtId="165" fontId="6" fillId="6" borderId="0" xfId="0" applyNumberFormat="1" applyFont="1" applyFill="1"/>
    <xf numFmtId="165" fontId="2" fillId="6" borderId="0" xfId="0" applyNumberFormat="1" applyFont="1" applyFill="1" applyAlignment="1">
      <alignment horizontal="right"/>
    </xf>
    <xf numFmtId="165" fontId="2" fillId="6" borderId="4" xfId="0" applyNumberFormat="1" applyFont="1" applyFill="1" applyBorder="1" applyAlignment="1">
      <alignment horizontal="right"/>
    </xf>
    <xf numFmtId="165" fontId="6" fillId="6" borderId="6" xfId="0" applyNumberFormat="1" applyFont="1" applyFill="1" applyBorder="1" applyAlignment="1">
      <alignment horizontal="right"/>
    </xf>
    <xf numFmtId="165" fontId="6" fillId="6" borderId="0" xfId="0" applyNumberFormat="1" applyFont="1" applyFill="1" applyAlignment="1">
      <alignment horizontal="right"/>
    </xf>
    <xf numFmtId="165" fontId="2" fillId="6" borderId="0" xfId="0" applyNumberFormat="1" applyFont="1" applyFill="1"/>
    <xf numFmtId="165" fontId="2" fillId="6" borderId="4" xfId="0" applyNumberFormat="1" applyFont="1" applyFill="1" applyBorder="1"/>
    <xf numFmtId="165" fontId="5" fillId="6" borderId="0" xfId="0" applyNumberFormat="1" applyFont="1" applyFill="1"/>
    <xf numFmtId="165" fontId="5" fillId="6" borderId="0" xfId="0" applyNumberFormat="1" applyFont="1" applyFill="1" applyAlignment="1">
      <alignment horizontal="left"/>
    </xf>
    <xf numFmtId="165" fontId="9" fillId="6" borderId="0" xfId="0" applyNumberFormat="1" applyFont="1" applyFill="1" applyAlignment="1">
      <alignment horizontal="left"/>
    </xf>
    <xf numFmtId="43" fontId="9" fillId="6" borderId="0" xfId="0" applyNumberFormat="1" applyFont="1" applyFill="1" applyAlignment="1">
      <alignment horizontal="left"/>
    </xf>
    <xf numFmtId="165" fontId="3" fillId="6" borderId="2" xfId="0" applyNumberFormat="1" applyFont="1" applyFill="1" applyBorder="1" applyAlignment="1">
      <alignment horizontal="right"/>
    </xf>
    <xf numFmtId="165" fontId="9" fillId="6" borderId="0" xfId="0" applyNumberFormat="1" applyFont="1" applyFill="1"/>
    <xf numFmtId="0" fontId="6" fillId="7" borderId="1" xfId="0" applyFont="1" applyFill="1" applyBorder="1" applyAlignment="1">
      <alignment horizontal="center" wrapText="1"/>
    </xf>
    <xf numFmtId="0" fontId="7" fillId="7" borderId="0" xfId="0" applyFont="1" applyFill="1"/>
    <xf numFmtId="44" fontId="5" fillId="7" borderId="0" xfId="2" applyFont="1" applyFill="1" applyBorder="1" applyAlignment="1"/>
    <xf numFmtId="44" fontId="5" fillId="7" borderId="4" xfId="2" applyFont="1" applyFill="1" applyBorder="1" applyAlignment="1"/>
    <xf numFmtId="44" fontId="6" fillId="7" borderId="0" xfId="2" applyFont="1" applyFill="1" applyBorder="1"/>
    <xf numFmtId="44" fontId="2" fillId="7" borderId="0" xfId="2" applyFont="1" applyFill="1" applyBorder="1"/>
    <xf numFmtId="44" fontId="2" fillId="7" borderId="4" xfId="2" applyFont="1" applyFill="1" applyBorder="1"/>
    <xf numFmtId="44" fontId="2" fillId="7" borderId="0" xfId="2" applyFont="1" applyFill="1"/>
    <xf numFmtId="44" fontId="9" fillId="7" borderId="0" xfId="2" applyFont="1" applyFill="1" applyBorder="1" applyAlignment="1"/>
    <xf numFmtId="44" fontId="4" fillId="3" borderId="7" xfId="0" applyNumberFormat="1" applyFont="1" applyFill="1" applyBorder="1"/>
    <xf numFmtId="44" fontId="4" fillId="3" borderId="0" xfId="0" applyNumberFormat="1" applyFont="1" applyFill="1"/>
    <xf numFmtId="14" fontId="4" fillId="0" borderId="0" xfId="0" applyNumberFormat="1" applyFont="1"/>
    <xf numFmtId="0" fontId="15" fillId="0" borderId="0" xfId="0" applyFont="1" applyAlignment="1">
      <alignment horizontal="center" wrapText="1"/>
    </xf>
    <xf numFmtId="44" fontId="4" fillId="0" borderId="0" xfId="0" applyNumberFormat="1" applyFont="1"/>
    <xf numFmtId="0" fontId="15" fillId="8" borderId="0" xfId="0" applyFont="1" applyFill="1" applyAlignment="1">
      <alignment horizontal="center" wrapText="1"/>
    </xf>
    <xf numFmtId="44" fontId="4" fillId="8" borderId="7" xfId="0" applyNumberFormat="1" applyFont="1" applyFill="1" applyBorder="1"/>
    <xf numFmtId="44" fontId="4" fillId="8" borderId="0" xfId="0" applyNumberFormat="1" applyFont="1" applyFill="1"/>
    <xf numFmtId="44" fontId="7" fillId="8" borderId="0" xfId="0" applyNumberFormat="1" applyFont="1" applyFill="1"/>
    <xf numFmtId="44" fontId="7" fillId="8" borderId="6" xfId="0" applyNumberFormat="1" applyFont="1" applyFill="1" applyBorder="1"/>
    <xf numFmtId="44" fontId="2" fillId="9" borderId="0" xfId="0" applyNumberFormat="1" applyFont="1" applyFill="1"/>
    <xf numFmtId="44" fontId="4" fillId="9" borderId="0" xfId="0" applyNumberFormat="1" applyFont="1" applyFill="1"/>
    <xf numFmtId="44" fontId="7" fillId="9" borderId="0" xfId="0" applyNumberFormat="1" applyFont="1" applyFill="1"/>
    <xf numFmtId="44" fontId="7" fillId="9" borderId="6" xfId="0" applyNumberFormat="1" applyFont="1" applyFill="1" applyBorder="1"/>
    <xf numFmtId="0" fontId="8" fillId="9" borderId="6" xfId="0" applyFont="1" applyFill="1" applyBorder="1"/>
    <xf numFmtId="44" fontId="16" fillId="0" borderId="0" xfId="2" applyFont="1" applyFill="1" applyBorder="1" applyAlignment="1">
      <alignment wrapText="1"/>
    </xf>
    <xf numFmtId="44" fontId="6" fillId="9" borderId="6" xfId="0" applyNumberFormat="1" applyFont="1" applyFill="1" applyBorder="1" applyAlignment="1">
      <alignment horizontal="right"/>
    </xf>
    <xf numFmtId="44" fontId="2" fillId="9" borderId="4" xfId="0" applyNumberFormat="1" applyFont="1" applyFill="1" applyBorder="1"/>
    <xf numFmtId="165" fontId="2" fillId="0" borderId="4" xfId="0" applyNumberFormat="1" applyFont="1" applyBorder="1"/>
    <xf numFmtId="44" fontId="2" fillId="3" borderId="0" xfId="0" applyNumberFormat="1" applyFont="1" applyFill="1"/>
    <xf numFmtId="44" fontId="2" fillId="0" borderId="0" xfId="0" applyNumberFormat="1" applyFont="1"/>
    <xf numFmtId="4" fontId="4" fillId="0" borderId="0" xfId="0" applyNumberFormat="1" applyFont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44" fontId="9" fillId="9" borderId="0" xfId="0" applyNumberFormat="1" applyFont="1" applyFill="1"/>
    <xf numFmtId="44" fontId="17" fillId="9" borderId="0" xfId="0" applyNumberFormat="1" applyFont="1" applyFill="1"/>
    <xf numFmtId="44" fontId="3" fillId="0" borderId="10" xfId="2" applyFont="1" applyFill="1" applyBorder="1" applyAlignment="1"/>
    <xf numFmtId="44" fontId="6" fillId="0" borderId="6" xfId="2" applyFont="1" applyBorder="1"/>
    <xf numFmtId="44" fontId="6" fillId="0" borderId="0" xfId="2" applyFont="1"/>
    <xf numFmtId="44" fontId="6" fillId="0" borderId="4" xfId="2" applyFont="1" applyBorder="1"/>
    <xf numFmtId="44" fontId="3" fillId="0" borderId="2" xfId="2" applyFont="1" applyFill="1" applyBorder="1" applyAlignment="1"/>
    <xf numFmtId="0" fontId="8" fillId="9" borderId="0" xfId="0" applyFont="1" applyFill="1"/>
    <xf numFmtId="44" fontId="6" fillId="9" borderId="2" xfId="0" applyNumberFormat="1" applyFont="1" applyFill="1" applyBorder="1" applyAlignment="1">
      <alignment horizontal="center" wrapText="1"/>
    </xf>
    <xf numFmtId="44" fontId="6" fillId="9" borderId="9" xfId="0" applyNumberFormat="1" applyFont="1" applyFill="1" applyBorder="1" applyAlignment="1">
      <alignment horizontal="center" wrapText="1"/>
    </xf>
    <xf numFmtId="165" fontId="6" fillId="9" borderId="6" xfId="0" applyNumberFormat="1" applyFont="1" applyFill="1" applyBorder="1" applyAlignment="1">
      <alignment horizontal="right"/>
    </xf>
    <xf numFmtId="44" fontId="5" fillId="0" borderId="7" xfId="2" applyFont="1" applyFill="1" applyBorder="1" applyAlignment="1"/>
    <xf numFmtId="44" fontId="3" fillId="0" borderId="0" xfId="2" applyFont="1" applyFill="1"/>
    <xf numFmtId="44" fontId="3" fillId="0" borderId="6" xfId="2" applyFont="1" applyFill="1" applyBorder="1"/>
    <xf numFmtId="165" fontId="2" fillId="0" borderId="6" xfId="0" applyNumberFormat="1" applyFont="1" applyBorder="1"/>
    <xf numFmtId="165" fontId="3" fillId="9" borderId="2" xfId="0" applyNumberFormat="1" applyFont="1" applyFill="1" applyBorder="1" applyAlignment="1">
      <alignment horizontal="right"/>
    </xf>
    <xf numFmtId="44" fontId="5" fillId="9" borderId="0" xfId="0" applyNumberFormat="1" applyFont="1" applyFill="1"/>
    <xf numFmtId="165" fontId="4" fillId="0" borderId="12" xfId="0" applyNumberFormat="1" applyFont="1" applyBorder="1"/>
    <xf numFmtId="165" fontId="8" fillId="0" borderId="5" xfId="0" applyNumberFormat="1" applyFont="1" applyBorder="1"/>
    <xf numFmtId="0" fontId="15" fillId="8" borderId="13" xfId="0" applyFont="1" applyFill="1" applyBorder="1" applyAlignment="1">
      <alignment horizontal="center" wrapText="1"/>
    </xf>
    <xf numFmtId="165" fontId="2" fillId="0" borderId="5" xfId="0" applyNumberFormat="1" applyFont="1" applyBorder="1"/>
    <xf numFmtId="44" fontId="4" fillId="8" borderId="12" xfId="0" applyNumberFormat="1" applyFont="1" applyFill="1" applyBorder="1"/>
    <xf numFmtId="44" fontId="4" fillId="8" borderId="13" xfId="0" applyNumberFormat="1" applyFont="1" applyFill="1" applyBorder="1"/>
    <xf numFmtId="44" fontId="7" fillId="8" borderId="13" xfId="0" applyNumberFormat="1" applyFont="1" applyFill="1" applyBorder="1"/>
    <xf numFmtId="165" fontId="4" fillId="0" borderId="5" xfId="0" applyNumberFormat="1" applyFont="1" applyBorder="1"/>
    <xf numFmtId="44" fontId="7" fillId="8" borderId="14" xfId="0" applyNumberFormat="1" applyFont="1" applyFill="1" applyBorder="1"/>
    <xf numFmtId="165" fontId="4" fillId="0" borderId="13" xfId="0" applyNumberFormat="1" applyFont="1" applyBorder="1"/>
    <xf numFmtId="165" fontId="7" fillId="0" borderId="15" xfId="0" applyNumberFormat="1" applyFont="1" applyBorder="1"/>
    <xf numFmtId="165" fontId="7" fillId="0" borderId="16" xfId="0" applyNumberFormat="1" applyFont="1" applyBorder="1"/>
    <xf numFmtId="165" fontId="7" fillId="0" borderId="0" xfId="0" applyNumberFormat="1" applyFont="1"/>
    <xf numFmtId="165" fontId="7" fillId="0" borderId="17" xfId="0" applyNumberFormat="1" applyFont="1" applyBorder="1"/>
    <xf numFmtId="165" fontId="4" fillId="3" borderId="0" xfId="0" applyNumberFormat="1" applyFont="1" applyFill="1"/>
    <xf numFmtId="165" fontId="10" fillId="3" borderId="0" xfId="0" applyNumberFormat="1" applyFont="1" applyFill="1"/>
    <xf numFmtId="165" fontId="7" fillId="3" borderId="11" xfId="0" applyNumberFormat="1" applyFont="1" applyFill="1" applyBorder="1"/>
    <xf numFmtId="165" fontId="18" fillId="3" borderId="0" xfId="0" applyNumberFormat="1" applyFont="1" applyFill="1"/>
    <xf numFmtId="165" fontId="7" fillId="3" borderId="0" xfId="0" applyNumberFormat="1" applyFont="1" applyFill="1"/>
    <xf numFmtId="0" fontId="14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36"/>
  <sheetViews>
    <sheetView tabSelected="1" view="pageBreakPreview" topLeftCell="A67" zoomScaleNormal="100" zoomScaleSheetLayoutView="100" workbookViewId="0">
      <selection activeCell="M131" sqref="M131"/>
    </sheetView>
  </sheetViews>
  <sheetFormatPr defaultColWidth="9.28515625" defaultRowHeight="18.75" x14ac:dyDescent="0.3"/>
  <cols>
    <col min="1" max="1" width="25.7109375" style="3" customWidth="1"/>
    <col min="2" max="2" width="40" style="22" customWidth="1"/>
    <col min="3" max="3" width="26" style="22" customWidth="1"/>
    <col min="4" max="4" width="2.7109375" style="3" customWidth="1"/>
    <col min="5" max="5" width="30.7109375" style="3" hidden="1" customWidth="1"/>
    <col min="6" max="6" width="1.28515625" style="3" hidden="1" customWidth="1"/>
    <col min="7" max="7" width="23.28515625" style="3" hidden="1" customWidth="1"/>
    <col min="8" max="9" width="17.5703125" style="3" hidden="1" customWidth="1"/>
    <col min="10" max="10" width="20.5703125" style="3" hidden="1" customWidth="1"/>
    <col min="11" max="11" width="2.5703125" style="3" hidden="1" customWidth="1"/>
    <col min="12" max="12" width="27.28515625" style="3" hidden="1" customWidth="1"/>
    <col min="13" max="13" width="27.28515625" style="3" customWidth="1"/>
    <col min="14" max="14" width="51.7109375" style="3" hidden="1" customWidth="1"/>
    <col min="15" max="15" width="17.5703125" style="3" bestFit="1" customWidth="1"/>
    <col min="16" max="16384" width="9.28515625" style="3"/>
  </cols>
  <sheetData>
    <row r="1" spans="1:14" x14ac:dyDescent="0.3">
      <c r="A1" s="3" t="s">
        <v>68</v>
      </c>
    </row>
    <row r="2" spans="1:14" ht="15.75" customHeight="1" thickBot="1" x14ac:dyDescent="0.35">
      <c r="G2" s="146"/>
      <c r="H2" s="146"/>
      <c r="I2" s="146"/>
      <c r="J2" s="146"/>
      <c r="K2" s="146"/>
    </row>
    <row r="3" spans="1:14" s="6" customFormat="1" ht="39" customHeight="1" thickBot="1" x14ac:dyDescent="0.35">
      <c r="A3" s="4"/>
      <c r="B3" s="23" t="s">
        <v>0</v>
      </c>
      <c r="C3" s="63" t="s">
        <v>155</v>
      </c>
      <c r="D3" s="5"/>
      <c r="E3" s="54"/>
      <c r="F3" s="56"/>
      <c r="G3" s="77" t="s">
        <v>100</v>
      </c>
      <c r="H3" s="45" t="s">
        <v>69</v>
      </c>
      <c r="I3" s="108"/>
      <c r="J3" s="47" t="s">
        <v>79</v>
      </c>
      <c r="K3" s="109" t="s">
        <v>60</v>
      </c>
      <c r="L3" s="118" t="s">
        <v>136</v>
      </c>
      <c r="M3" s="119" t="s">
        <v>163</v>
      </c>
      <c r="N3" s="6" t="s">
        <v>60</v>
      </c>
    </row>
    <row r="4" spans="1:14" s="6" customFormat="1" hidden="1" x14ac:dyDescent="0.3">
      <c r="A4" s="7" t="s">
        <v>42</v>
      </c>
      <c r="B4" s="24"/>
      <c r="C4" s="64"/>
      <c r="D4" s="4"/>
      <c r="E4" s="4"/>
      <c r="F4" s="57"/>
      <c r="G4" s="78"/>
      <c r="L4" s="98"/>
      <c r="M4" s="98"/>
    </row>
    <row r="5" spans="1:14" ht="46.5" customHeight="1" x14ac:dyDescent="0.3">
      <c r="A5" s="1" t="s">
        <v>36</v>
      </c>
      <c r="B5" s="28" t="s">
        <v>1</v>
      </c>
      <c r="C5" s="65">
        <v>995000</v>
      </c>
      <c r="D5" s="1"/>
      <c r="E5" s="101" t="s">
        <v>132</v>
      </c>
      <c r="F5" s="58"/>
      <c r="G5" s="79">
        <v>953000</v>
      </c>
      <c r="H5" s="10">
        <v>499286.23</v>
      </c>
      <c r="I5" s="10">
        <f>G5/12</f>
        <v>79416.666666666672</v>
      </c>
      <c r="J5" s="10"/>
      <c r="K5" s="44" t="s">
        <v>97</v>
      </c>
      <c r="L5" s="96">
        <v>709012.71</v>
      </c>
      <c r="M5" s="96">
        <v>525584.46</v>
      </c>
      <c r="N5" s="44" t="s">
        <v>149</v>
      </c>
    </row>
    <row r="6" spans="1:14" x14ac:dyDescent="0.3">
      <c r="A6" s="1"/>
      <c r="B6" s="28" t="s">
        <v>32</v>
      </c>
      <c r="C6" s="65">
        <v>200000</v>
      </c>
      <c r="D6" s="1"/>
      <c r="E6" s="10" t="s">
        <v>117</v>
      </c>
      <c r="F6" s="58"/>
      <c r="G6" s="79">
        <v>125000</v>
      </c>
      <c r="H6" s="10">
        <v>136518.25</v>
      </c>
      <c r="I6" s="10">
        <f t="shared" ref="I6:I63" si="0">G6/12</f>
        <v>10416.666666666666</v>
      </c>
      <c r="J6" s="10"/>
      <c r="K6" s="3" t="s">
        <v>74</v>
      </c>
      <c r="L6" s="96">
        <v>232875.5</v>
      </c>
      <c r="M6" s="96">
        <v>166211.75</v>
      </c>
      <c r="N6" s="3" t="s">
        <v>80</v>
      </c>
    </row>
    <row r="7" spans="1:14" ht="19.899999999999999" customHeight="1" x14ac:dyDescent="0.3">
      <c r="A7" s="1"/>
      <c r="B7" s="28" t="s">
        <v>33</v>
      </c>
      <c r="C7" s="65">
        <f>5000+17500</f>
        <v>22500</v>
      </c>
      <c r="D7" s="1"/>
      <c r="E7" s="10" t="s">
        <v>116</v>
      </c>
      <c r="F7" s="58"/>
      <c r="G7" s="79">
        <v>5000</v>
      </c>
      <c r="H7" s="10">
        <f>30.34+2924.71</f>
        <v>2955.05</v>
      </c>
      <c r="I7" s="10">
        <f t="shared" si="0"/>
        <v>416.66666666666669</v>
      </c>
      <c r="J7" s="10"/>
      <c r="K7" s="3" t="s">
        <v>73</v>
      </c>
      <c r="L7" s="96"/>
      <c r="M7" s="96">
        <v>58944.4</v>
      </c>
      <c r="N7" s="3" t="s">
        <v>162</v>
      </c>
    </row>
    <row r="8" spans="1:14" ht="19.5" thickBot="1" x14ac:dyDescent="0.35">
      <c r="A8" s="1"/>
      <c r="B8" s="28" t="s">
        <v>57</v>
      </c>
      <c r="C8" s="66">
        <v>555000</v>
      </c>
      <c r="D8" s="1"/>
      <c r="E8" s="39" t="s">
        <v>80</v>
      </c>
      <c r="F8" s="59"/>
      <c r="G8" s="80">
        <v>460000</v>
      </c>
      <c r="H8" s="10">
        <v>213822.47</v>
      </c>
      <c r="I8" s="10">
        <f t="shared" si="0"/>
        <v>38333.333333333336</v>
      </c>
      <c r="J8" s="39"/>
      <c r="K8" s="3" t="s">
        <v>80</v>
      </c>
      <c r="L8" s="103">
        <v>450726.12</v>
      </c>
      <c r="M8" s="103">
        <v>298991.19</v>
      </c>
      <c r="N8" s="3" t="s">
        <v>77</v>
      </c>
    </row>
    <row r="9" spans="1:14" ht="20.25" thickTop="1" thickBot="1" x14ac:dyDescent="0.35">
      <c r="A9" s="1"/>
      <c r="B9" s="26" t="s">
        <v>37</v>
      </c>
      <c r="C9" s="67">
        <f>SUM(C5:C8)</f>
        <v>1772500</v>
      </c>
      <c r="D9" s="26">
        <f t="shared" ref="D9:M9" si="1">SUM(D5:D8)</f>
        <v>0</v>
      </c>
      <c r="E9" s="67">
        <f t="shared" si="1"/>
        <v>0</v>
      </c>
      <c r="F9" s="67">
        <f t="shared" si="1"/>
        <v>0</v>
      </c>
      <c r="G9" s="67">
        <f t="shared" si="1"/>
        <v>1543000</v>
      </c>
      <c r="H9" s="67">
        <f t="shared" si="1"/>
        <v>852582</v>
      </c>
      <c r="I9" s="67">
        <f t="shared" si="1"/>
        <v>128583.33333333334</v>
      </c>
      <c r="J9" s="67">
        <f t="shared" si="1"/>
        <v>0</v>
      </c>
      <c r="K9" s="67">
        <f t="shared" si="1"/>
        <v>0</v>
      </c>
      <c r="L9" s="67">
        <f t="shared" si="1"/>
        <v>1392614.33</v>
      </c>
      <c r="M9" s="120">
        <f t="shared" si="1"/>
        <v>1049731.8</v>
      </c>
      <c r="N9" s="112"/>
    </row>
    <row r="10" spans="1:14" ht="20.25" customHeight="1" x14ac:dyDescent="0.3">
      <c r="A10" s="1"/>
      <c r="B10" s="27"/>
      <c r="C10" s="68"/>
      <c r="D10" s="4"/>
      <c r="E10" s="10"/>
      <c r="F10" s="58"/>
      <c r="G10" s="81"/>
      <c r="H10" s="10"/>
      <c r="I10" s="10"/>
      <c r="J10" s="10"/>
      <c r="L10" s="96"/>
      <c r="M10" s="96"/>
    </row>
    <row r="11" spans="1:14" x14ac:dyDescent="0.3">
      <c r="A11" s="1" t="s">
        <v>38</v>
      </c>
      <c r="B11" s="28" t="s">
        <v>55</v>
      </c>
      <c r="C11" s="65">
        <v>466298</v>
      </c>
      <c r="D11" s="4"/>
      <c r="E11" s="10" t="s">
        <v>118</v>
      </c>
      <c r="F11" s="58"/>
      <c r="G11" s="82">
        <v>457118.62</v>
      </c>
      <c r="H11" s="10">
        <v>457153.6</v>
      </c>
      <c r="I11" s="10">
        <f>G11/12</f>
        <v>38093.218333333331</v>
      </c>
      <c r="J11" s="10"/>
      <c r="K11" s="3" t="s">
        <v>92</v>
      </c>
      <c r="L11" s="96">
        <v>465343.28</v>
      </c>
      <c r="M11" s="96">
        <v>467272.48</v>
      </c>
      <c r="N11" s="3" t="s">
        <v>92</v>
      </c>
    </row>
    <row r="12" spans="1:14" x14ac:dyDescent="0.3">
      <c r="A12" s="1"/>
      <c r="B12" s="28" t="s">
        <v>151</v>
      </c>
      <c r="C12" s="65">
        <v>150000</v>
      </c>
      <c r="D12" s="1"/>
      <c r="E12" s="10" t="s">
        <v>119</v>
      </c>
      <c r="F12" s="58"/>
      <c r="G12" s="82">
        <v>90000</v>
      </c>
      <c r="H12" s="10">
        <v>0</v>
      </c>
      <c r="I12" s="10">
        <f t="shared" si="0"/>
        <v>7500</v>
      </c>
      <c r="J12" s="10"/>
      <c r="K12" s="3" t="s">
        <v>81</v>
      </c>
      <c r="L12" s="96"/>
      <c r="M12" s="96"/>
      <c r="N12" s="3" t="s">
        <v>137</v>
      </c>
    </row>
    <row r="13" spans="1:14" ht="19.5" thickBot="1" x14ac:dyDescent="0.35">
      <c r="A13" s="1"/>
      <c r="B13" s="28" t="s">
        <v>33</v>
      </c>
      <c r="C13" s="66">
        <f>2500+17500</f>
        <v>20000</v>
      </c>
      <c r="D13" s="4"/>
      <c r="E13" s="39" t="s">
        <v>73</v>
      </c>
      <c r="F13" s="59"/>
      <c r="G13" s="83">
        <v>2500</v>
      </c>
      <c r="H13" s="39">
        <f>53.53+2924.53</f>
        <v>2978.0600000000004</v>
      </c>
      <c r="I13" s="39">
        <f t="shared" ref="I13" si="2">53.53+2924.53</f>
        <v>2978.0600000000004</v>
      </c>
      <c r="J13" s="39"/>
      <c r="K13" s="39" t="s">
        <v>73</v>
      </c>
      <c r="L13" s="103">
        <v>18842.38</v>
      </c>
      <c r="M13" s="103">
        <f>20443.38+17876</f>
        <v>38319.380000000005</v>
      </c>
      <c r="N13" s="39" t="s">
        <v>148</v>
      </c>
    </row>
    <row r="14" spans="1:14" ht="20.25" thickTop="1" thickBot="1" x14ac:dyDescent="0.35">
      <c r="A14" s="1"/>
      <c r="B14" s="26" t="s">
        <v>39</v>
      </c>
      <c r="C14" s="67">
        <f>SUM(C11:C13)</f>
        <v>636298</v>
      </c>
      <c r="D14" s="26">
        <f t="shared" ref="D14:L14" si="3">SUM(D11:D13)</f>
        <v>0</v>
      </c>
      <c r="E14" s="67">
        <f t="shared" si="3"/>
        <v>0</v>
      </c>
      <c r="F14" s="67">
        <f t="shared" si="3"/>
        <v>0</v>
      </c>
      <c r="G14" s="67">
        <f t="shared" si="3"/>
        <v>549618.62</v>
      </c>
      <c r="H14" s="67">
        <f t="shared" si="3"/>
        <v>460131.66</v>
      </c>
      <c r="I14" s="67">
        <f t="shared" si="3"/>
        <v>48571.278333333328</v>
      </c>
      <c r="J14" s="67">
        <f t="shared" si="3"/>
        <v>0</v>
      </c>
      <c r="K14" s="67">
        <f t="shared" si="3"/>
        <v>0</v>
      </c>
      <c r="L14" s="102">
        <f t="shared" si="3"/>
        <v>484185.66000000003</v>
      </c>
      <c r="M14" s="102">
        <f>SUM(M10:M13)</f>
        <v>505591.86</v>
      </c>
      <c r="N14" s="113"/>
    </row>
    <row r="15" spans="1:14" x14ac:dyDescent="0.3">
      <c r="A15" s="1" t="s">
        <v>2</v>
      </c>
      <c r="B15" s="25" t="s">
        <v>3</v>
      </c>
      <c r="C15" s="69">
        <f>C56</f>
        <v>1771795</v>
      </c>
      <c r="D15" s="25">
        <f t="shared" ref="D15:L15" si="4">D56</f>
        <v>0</v>
      </c>
      <c r="E15" s="69">
        <f t="shared" si="4"/>
        <v>0</v>
      </c>
      <c r="F15" s="69">
        <f t="shared" si="4"/>
        <v>0</v>
      </c>
      <c r="G15" s="69">
        <f t="shared" si="4"/>
        <v>1483050</v>
      </c>
      <c r="H15" s="69" t="e">
        <f t="shared" si="4"/>
        <v>#REF!</v>
      </c>
      <c r="I15" s="69">
        <f t="shared" si="4"/>
        <v>123483.33333333333</v>
      </c>
      <c r="J15" s="69">
        <f t="shared" si="4"/>
        <v>0</v>
      </c>
      <c r="K15" s="69">
        <f t="shared" si="4"/>
        <v>0</v>
      </c>
      <c r="L15" s="96">
        <f t="shared" si="4"/>
        <v>1252474.3799999999</v>
      </c>
      <c r="M15" s="96">
        <f>M56</f>
        <v>1208715.74</v>
      </c>
      <c r="N15" s="114"/>
    </row>
    <row r="16" spans="1:14" ht="19.5" thickBot="1" x14ac:dyDescent="0.35">
      <c r="A16" s="1"/>
      <c r="B16" s="25" t="s">
        <v>40</v>
      </c>
      <c r="C16" s="70">
        <f>C85</f>
        <v>568250</v>
      </c>
      <c r="D16" s="104">
        <f t="shared" ref="D16:L16" si="5">D85</f>
        <v>320175</v>
      </c>
      <c r="E16" s="70">
        <f t="shared" si="5"/>
        <v>0</v>
      </c>
      <c r="F16" s="70">
        <f t="shared" si="5"/>
        <v>0</v>
      </c>
      <c r="G16" s="70">
        <f t="shared" si="5"/>
        <v>465650</v>
      </c>
      <c r="H16" s="70" t="e">
        <f t="shared" si="5"/>
        <v>#REF!</v>
      </c>
      <c r="I16" s="70">
        <f t="shared" si="5"/>
        <v>38804.166666666657</v>
      </c>
      <c r="J16" s="70">
        <f t="shared" si="5"/>
        <v>0</v>
      </c>
      <c r="K16" s="70">
        <f t="shared" si="5"/>
        <v>0</v>
      </c>
      <c r="L16" s="103">
        <f t="shared" si="5"/>
        <v>353769.19</v>
      </c>
      <c r="M16" s="103">
        <f>M85</f>
        <v>450946.31999999995</v>
      </c>
      <c r="N16" s="115"/>
    </row>
    <row r="17" spans="1:14" ht="20.25" thickTop="1" thickBot="1" x14ac:dyDescent="0.35">
      <c r="A17" s="1"/>
      <c r="B17" s="26" t="s">
        <v>35</v>
      </c>
      <c r="C17" s="67">
        <f>SUM(C15:C16)</f>
        <v>2340045</v>
      </c>
      <c r="D17" s="26">
        <f t="shared" ref="D17:L17" si="6">SUM(D15:D16)</f>
        <v>320175</v>
      </c>
      <c r="E17" s="67">
        <f t="shared" si="6"/>
        <v>0</v>
      </c>
      <c r="F17" s="67">
        <f t="shared" si="6"/>
        <v>0</v>
      </c>
      <c r="G17" s="67">
        <f t="shared" si="6"/>
        <v>1948700</v>
      </c>
      <c r="H17" s="67" t="e">
        <f t="shared" si="6"/>
        <v>#REF!</v>
      </c>
      <c r="I17" s="67">
        <f t="shared" si="6"/>
        <v>162287.5</v>
      </c>
      <c r="J17" s="67">
        <f t="shared" si="6"/>
        <v>0</v>
      </c>
      <c r="K17" s="67">
        <f t="shared" si="6"/>
        <v>0</v>
      </c>
      <c r="L17" s="102">
        <f t="shared" si="6"/>
        <v>1606243.5699999998</v>
      </c>
      <c r="M17" s="102">
        <f>SUM(M15:M16)</f>
        <v>1659662.06</v>
      </c>
      <c r="N17" s="113"/>
    </row>
    <row r="18" spans="1:14" x14ac:dyDescent="0.3">
      <c r="A18" s="20"/>
      <c r="B18" s="29"/>
      <c r="C18" s="29"/>
      <c r="D18" s="1"/>
      <c r="E18" s="20"/>
      <c r="F18" s="20"/>
      <c r="G18" s="21"/>
      <c r="H18" s="42"/>
      <c r="I18" s="42"/>
      <c r="J18" s="42"/>
      <c r="K18" s="42"/>
      <c r="L18" s="105"/>
      <c r="M18" s="105"/>
      <c r="N18" s="121"/>
    </row>
    <row r="19" spans="1:14" x14ac:dyDescent="0.3">
      <c r="A19" s="20" t="s">
        <v>43</v>
      </c>
      <c r="B19" s="30" t="s">
        <v>3</v>
      </c>
      <c r="C19" s="30">
        <f t="shared" ref="C19:M19" si="7">C9-C56</f>
        <v>705</v>
      </c>
      <c r="D19" s="25">
        <f t="shared" si="7"/>
        <v>0</v>
      </c>
      <c r="E19" s="30">
        <f t="shared" si="7"/>
        <v>0</v>
      </c>
      <c r="F19" s="30">
        <f t="shared" si="7"/>
        <v>0</v>
      </c>
      <c r="G19" s="30">
        <f t="shared" si="7"/>
        <v>59950</v>
      </c>
      <c r="H19" s="30" t="e">
        <f t="shared" si="7"/>
        <v>#REF!</v>
      </c>
      <c r="I19" s="30">
        <f t="shared" si="7"/>
        <v>5100.0000000000146</v>
      </c>
      <c r="J19" s="30">
        <f t="shared" si="7"/>
        <v>0</v>
      </c>
      <c r="K19" s="30">
        <f t="shared" si="7"/>
        <v>0</v>
      </c>
      <c r="L19" s="30">
        <f t="shared" si="7"/>
        <v>140139.95000000019</v>
      </c>
      <c r="M19" s="30">
        <f t="shared" si="7"/>
        <v>-158983.93999999994</v>
      </c>
      <c r="N19" s="122"/>
    </row>
    <row r="20" spans="1:14" ht="19.5" thickBot="1" x14ac:dyDescent="0.35">
      <c r="A20" s="20"/>
      <c r="B20" s="31" t="s">
        <v>4</v>
      </c>
      <c r="C20" s="31">
        <f t="shared" ref="C20:M20" si="8">C14-C85</f>
        <v>68048</v>
      </c>
      <c r="D20" s="124">
        <f t="shared" si="8"/>
        <v>-320175</v>
      </c>
      <c r="E20" s="31">
        <f t="shared" si="8"/>
        <v>0</v>
      </c>
      <c r="F20" s="31">
        <f t="shared" si="8"/>
        <v>0</v>
      </c>
      <c r="G20" s="31">
        <f t="shared" si="8"/>
        <v>83968.62</v>
      </c>
      <c r="H20" s="31" t="e">
        <f t="shared" si="8"/>
        <v>#REF!</v>
      </c>
      <c r="I20" s="31">
        <f t="shared" si="8"/>
        <v>9767.1116666666712</v>
      </c>
      <c r="J20" s="31">
        <f t="shared" si="8"/>
        <v>0</v>
      </c>
      <c r="K20" s="31">
        <f t="shared" si="8"/>
        <v>0</v>
      </c>
      <c r="L20" s="31">
        <f t="shared" si="8"/>
        <v>130416.47000000003</v>
      </c>
      <c r="M20" s="31">
        <f t="shared" si="8"/>
        <v>54645.540000000037</v>
      </c>
      <c r="N20" s="123"/>
    </row>
    <row r="21" spans="1:14" ht="9.6" customHeight="1" x14ac:dyDescent="0.3">
      <c r="A21" s="1"/>
      <c r="B21" s="25"/>
      <c r="C21" s="25"/>
      <c r="D21" s="1"/>
      <c r="E21" s="1"/>
      <c r="F21" s="60"/>
      <c r="G21" s="8"/>
      <c r="H21" s="10"/>
      <c r="I21" s="10"/>
      <c r="J21" s="10"/>
      <c r="L21" s="106"/>
      <c r="M21" s="106"/>
    </row>
    <row r="22" spans="1:14" ht="16.899999999999999" customHeight="1" x14ac:dyDescent="0.3">
      <c r="A22" s="46" t="s">
        <v>31</v>
      </c>
      <c r="B22" s="32" t="s">
        <v>5</v>
      </c>
      <c r="C22" s="32"/>
      <c r="D22" s="1"/>
      <c r="E22" s="1"/>
      <c r="F22" s="60"/>
      <c r="G22" s="8"/>
      <c r="H22" s="10"/>
      <c r="I22" s="10"/>
      <c r="J22" s="10"/>
      <c r="L22" s="106"/>
      <c r="M22" s="106"/>
    </row>
    <row r="23" spans="1:14" ht="24" customHeight="1" x14ac:dyDescent="0.3">
      <c r="A23" s="1"/>
      <c r="B23" s="33" t="s">
        <v>58</v>
      </c>
      <c r="C23" s="71">
        <v>135000</v>
      </c>
      <c r="D23" s="1"/>
      <c r="E23" s="10" t="s">
        <v>113</v>
      </c>
      <c r="F23" s="58"/>
      <c r="G23" s="84">
        <v>168000</v>
      </c>
      <c r="H23" s="10">
        <f>58336.57+4481.73+952.6+6906.35+6530.2+3458.26</f>
        <v>80665.709999999992</v>
      </c>
      <c r="I23" s="10">
        <f t="shared" si="0"/>
        <v>14000</v>
      </c>
      <c r="J23" s="10"/>
      <c r="K23" s="3" t="s">
        <v>70</v>
      </c>
      <c r="L23" s="96">
        <f>87191.04+7282.16+1355.16+11797.76+12566.82+6444.92</f>
        <v>126637.86</v>
      </c>
      <c r="M23" s="96">
        <f>76814.76+5372.34+6168.76+1054.83+10894.2+5831.3</f>
        <v>106136.18999999999</v>
      </c>
      <c r="N23" s="3" t="s">
        <v>70</v>
      </c>
    </row>
    <row r="24" spans="1:14" ht="18" customHeight="1" x14ac:dyDescent="0.3">
      <c r="A24" s="1"/>
      <c r="B24" s="33" t="s">
        <v>34</v>
      </c>
      <c r="C24" s="71">
        <v>1500</v>
      </c>
      <c r="D24" s="1"/>
      <c r="E24" s="10" t="s">
        <v>73</v>
      </c>
      <c r="F24" s="58"/>
      <c r="G24" s="79">
        <v>1500</v>
      </c>
      <c r="H24" s="10">
        <v>0</v>
      </c>
      <c r="I24" s="10">
        <f t="shared" si="0"/>
        <v>125</v>
      </c>
      <c r="J24" s="10"/>
      <c r="K24" s="3" t="s">
        <v>73</v>
      </c>
      <c r="L24" s="96"/>
      <c r="M24" s="96">
        <v>269.7</v>
      </c>
      <c r="N24" s="3" t="s">
        <v>73</v>
      </c>
    </row>
    <row r="25" spans="1:14" x14ac:dyDescent="0.3">
      <c r="A25" s="1"/>
      <c r="B25" s="33" t="s">
        <v>6</v>
      </c>
      <c r="C25" s="71">
        <v>4500</v>
      </c>
      <c r="D25" s="1"/>
      <c r="E25" s="10" t="s">
        <v>77</v>
      </c>
      <c r="F25" s="58"/>
      <c r="G25" s="79">
        <v>5000</v>
      </c>
      <c r="H25" s="10">
        <v>1967.61</v>
      </c>
      <c r="I25" s="10">
        <f t="shared" si="0"/>
        <v>416.66666666666669</v>
      </c>
      <c r="J25" s="10"/>
      <c r="K25" s="3" t="s">
        <v>74</v>
      </c>
      <c r="L25" s="96">
        <v>3460.07</v>
      </c>
      <c r="M25" s="96">
        <v>3793.53</v>
      </c>
      <c r="N25" s="3" t="s">
        <v>91</v>
      </c>
    </row>
    <row r="26" spans="1:14" ht="19.149999999999999" customHeight="1" x14ac:dyDescent="0.3">
      <c r="A26" s="1"/>
      <c r="B26" s="33" t="s">
        <v>28</v>
      </c>
      <c r="C26" s="71">
        <v>42500</v>
      </c>
      <c r="D26" s="1"/>
      <c r="E26" s="10" t="s">
        <v>112</v>
      </c>
      <c r="F26" s="58"/>
      <c r="G26" s="79">
        <v>28500</v>
      </c>
      <c r="H26" s="10">
        <v>14713.82</v>
      </c>
      <c r="I26" s="10">
        <f t="shared" si="0"/>
        <v>2375</v>
      </c>
      <c r="J26" s="10"/>
      <c r="K26" s="3" t="s">
        <v>75</v>
      </c>
      <c r="L26" s="96">
        <v>29814.51</v>
      </c>
      <c r="M26" s="96">
        <v>28604.560000000001</v>
      </c>
      <c r="N26" s="3" t="s">
        <v>75</v>
      </c>
    </row>
    <row r="27" spans="1:14" x14ac:dyDescent="0.3">
      <c r="A27" s="1"/>
      <c r="B27" s="33" t="s">
        <v>41</v>
      </c>
      <c r="C27" s="71">
        <v>202145</v>
      </c>
      <c r="D27" s="1"/>
      <c r="E27" s="10" t="s">
        <v>111</v>
      </c>
      <c r="F27" s="58"/>
      <c r="G27" s="79">
        <v>185000</v>
      </c>
      <c r="H27" s="10">
        <v>116759.1</v>
      </c>
      <c r="I27" s="10">
        <f t="shared" si="0"/>
        <v>15416.666666666666</v>
      </c>
      <c r="J27" s="10"/>
      <c r="K27" s="3" t="s">
        <v>82</v>
      </c>
      <c r="L27" s="96">
        <v>152852.76999999999</v>
      </c>
      <c r="M27" s="96">
        <v>106313.36</v>
      </c>
      <c r="N27" s="3" t="s">
        <v>146</v>
      </c>
    </row>
    <row r="28" spans="1:14" x14ac:dyDescent="0.3">
      <c r="A28" s="1"/>
      <c r="B28" s="33" t="s">
        <v>7</v>
      </c>
      <c r="C28" s="71">
        <v>7000</v>
      </c>
      <c r="D28" s="1"/>
      <c r="E28" s="10" t="s">
        <v>80</v>
      </c>
      <c r="F28" s="58"/>
      <c r="G28" s="79">
        <v>5000</v>
      </c>
      <c r="H28" s="10">
        <v>12341.13</v>
      </c>
      <c r="I28" s="10">
        <f t="shared" si="0"/>
        <v>416.66666666666669</v>
      </c>
      <c r="J28" s="10"/>
      <c r="K28" s="3" t="s">
        <v>95</v>
      </c>
      <c r="L28" s="96">
        <v>5768.83</v>
      </c>
      <c r="M28" s="96">
        <v>8788.02</v>
      </c>
      <c r="N28" s="3" t="s">
        <v>147</v>
      </c>
    </row>
    <row r="29" spans="1:14" ht="21" customHeight="1" x14ac:dyDescent="0.3">
      <c r="A29" s="1"/>
      <c r="B29" s="33" t="s">
        <v>8</v>
      </c>
      <c r="C29" s="71">
        <v>4000</v>
      </c>
      <c r="D29" s="1"/>
      <c r="E29" s="10" t="s">
        <v>80</v>
      </c>
      <c r="F29" s="58"/>
      <c r="G29" s="79">
        <v>1000</v>
      </c>
      <c r="H29" s="10">
        <v>441.57</v>
      </c>
      <c r="I29" s="10">
        <f t="shared" si="0"/>
        <v>83.333333333333329</v>
      </c>
      <c r="J29" s="10"/>
      <c r="K29" s="3" t="s">
        <v>73</v>
      </c>
      <c r="L29" s="96">
        <f>3573.37+430.01</f>
        <v>4003.38</v>
      </c>
      <c r="M29" s="96">
        <f>913.87+163.64</f>
        <v>1077.51</v>
      </c>
      <c r="N29" s="3" t="s">
        <v>80</v>
      </c>
    </row>
    <row r="30" spans="1:14" x14ac:dyDescent="0.3">
      <c r="A30" s="1"/>
      <c r="B30" s="33" t="s">
        <v>9</v>
      </c>
      <c r="C30" s="71">
        <v>5000</v>
      </c>
      <c r="D30" s="1"/>
      <c r="E30" s="10" t="s">
        <v>80</v>
      </c>
      <c r="F30" s="58"/>
      <c r="G30" s="79">
        <v>2000</v>
      </c>
      <c r="H30" s="10">
        <v>1210.8</v>
      </c>
      <c r="I30" s="10">
        <f t="shared" si="0"/>
        <v>166.66666666666666</v>
      </c>
      <c r="J30" s="10"/>
      <c r="K30" s="3" t="s">
        <v>74</v>
      </c>
      <c r="L30" s="96">
        <v>5721.91</v>
      </c>
      <c r="M30" s="96">
        <v>17012.650000000001</v>
      </c>
      <c r="N30" s="3" t="s">
        <v>80</v>
      </c>
    </row>
    <row r="31" spans="1:14" ht="21.75" customHeight="1" x14ac:dyDescent="0.3">
      <c r="A31" s="1"/>
      <c r="B31" s="33" t="s">
        <v>10</v>
      </c>
      <c r="C31" s="71">
        <v>35000</v>
      </c>
      <c r="D31" s="1"/>
      <c r="E31" s="10" t="s">
        <v>120</v>
      </c>
      <c r="F31" s="58"/>
      <c r="G31" s="79">
        <v>45000</v>
      </c>
      <c r="H31" s="62">
        <v>34361.08</v>
      </c>
      <c r="I31" s="62">
        <f t="shared" si="0"/>
        <v>3750</v>
      </c>
      <c r="J31" s="62"/>
      <c r="K31" s="3" t="s">
        <v>94</v>
      </c>
      <c r="L31" s="96">
        <v>33049.440000000002</v>
      </c>
      <c r="M31" s="96">
        <v>49795.81</v>
      </c>
      <c r="N31" s="3" t="s">
        <v>138</v>
      </c>
    </row>
    <row r="32" spans="1:14" x14ac:dyDescent="0.3">
      <c r="A32" s="1"/>
      <c r="B32" s="33" t="s">
        <v>56</v>
      </c>
      <c r="C32" s="71">
        <v>5000</v>
      </c>
      <c r="D32" s="1"/>
      <c r="E32" s="10" t="s">
        <v>77</v>
      </c>
      <c r="F32" s="58"/>
      <c r="G32" s="79">
        <v>5000</v>
      </c>
      <c r="H32" s="10">
        <v>85.73</v>
      </c>
      <c r="I32" s="10">
        <f t="shared" si="0"/>
        <v>416.66666666666669</v>
      </c>
      <c r="J32" s="10"/>
      <c r="K32" s="3" t="s">
        <v>99</v>
      </c>
      <c r="L32" s="96">
        <v>1619.15</v>
      </c>
      <c r="M32" s="96">
        <v>1552.5</v>
      </c>
      <c r="N32" s="3" t="s">
        <v>73</v>
      </c>
    </row>
    <row r="33" spans="1:14" x14ac:dyDescent="0.3">
      <c r="A33" s="1"/>
      <c r="B33" s="33" t="s">
        <v>11</v>
      </c>
      <c r="C33" s="71">
        <v>35000</v>
      </c>
      <c r="D33" s="1"/>
      <c r="E33" s="10" t="s">
        <v>77</v>
      </c>
      <c r="F33" s="58"/>
      <c r="G33" s="79">
        <v>40000</v>
      </c>
      <c r="H33" s="10">
        <v>22234.81</v>
      </c>
      <c r="I33" s="10">
        <f t="shared" si="0"/>
        <v>3333.3333333333335</v>
      </c>
      <c r="J33" s="10"/>
      <c r="K33" s="3" t="s">
        <v>66</v>
      </c>
      <c r="L33" s="96">
        <v>28174.77</v>
      </c>
      <c r="M33" s="96">
        <v>21975.63</v>
      </c>
      <c r="N33" s="3" t="s">
        <v>66</v>
      </c>
    </row>
    <row r="34" spans="1:14" x14ac:dyDescent="0.3">
      <c r="A34" s="1"/>
      <c r="B34" s="34" t="s">
        <v>12</v>
      </c>
      <c r="C34" s="72">
        <v>2500</v>
      </c>
      <c r="D34" s="1"/>
      <c r="E34" s="10" t="s">
        <v>77</v>
      </c>
      <c r="F34" s="58"/>
      <c r="G34" s="79">
        <v>2500</v>
      </c>
      <c r="H34" s="10">
        <v>1165.8399999999999</v>
      </c>
      <c r="I34" s="10">
        <f t="shared" si="0"/>
        <v>208.33333333333334</v>
      </c>
      <c r="J34" s="10"/>
      <c r="K34" s="3" t="s">
        <v>73</v>
      </c>
      <c r="L34" s="96"/>
      <c r="M34" s="96">
        <v>297.99</v>
      </c>
      <c r="N34" s="3" t="s">
        <v>73</v>
      </c>
    </row>
    <row r="35" spans="1:14" x14ac:dyDescent="0.3">
      <c r="A35" s="1"/>
      <c r="B35" s="33" t="s">
        <v>13</v>
      </c>
      <c r="C35" s="71">
        <v>7500</v>
      </c>
      <c r="D35" s="1"/>
      <c r="E35" s="10" t="s">
        <v>77</v>
      </c>
      <c r="F35" s="58"/>
      <c r="G35" s="79">
        <v>7500</v>
      </c>
      <c r="H35" s="10">
        <f>2437.37+1391.39</f>
        <v>3828.76</v>
      </c>
      <c r="I35" s="10">
        <f t="shared" si="0"/>
        <v>625</v>
      </c>
      <c r="J35" s="10"/>
      <c r="K35" s="3" t="s">
        <v>64</v>
      </c>
      <c r="L35" s="96">
        <f>3745.61+2651.95</f>
        <v>6397.5599999999995</v>
      </c>
      <c r="M35" s="96">
        <f>1886.54+2022.18</f>
        <v>3908.7200000000003</v>
      </c>
      <c r="N35" s="3" t="s">
        <v>139</v>
      </c>
    </row>
    <row r="36" spans="1:14" x14ac:dyDescent="0.3">
      <c r="A36" s="1"/>
      <c r="B36" s="33" t="s">
        <v>14</v>
      </c>
      <c r="C36" s="71">
        <v>11000</v>
      </c>
      <c r="D36" s="1"/>
      <c r="E36" s="10" t="s">
        <v>80</v>
      </c>
      <c r="F36" s="58"/>
      <c r="G36" s="79">
        <v>10000</v>
      </c>
      <c r="H36" s="10">
        <v>7237.5</v>
      </c>
      <c r="I36" s="10">
        <f t="shared" si="0"/>
        <v>833.33333333333337</v>
      </c>
      <c r="J36" s="10"/>
      <c r="K36" s="3" t="s">
        <v>83</v>
      </c>
      <c r="L36" s="96">
        <v>340</v>
      </c>
      <c r="M36" s="96">
        <v>82.5</v>
      </c>
      <c r="N36" s="3" t="s">
        <v>140</v>
      </c>
    </row>
    <row r="37" spans="1:14" x14ac:dyDescent="0.3">
      <c r="A37" s="1"/>
      <c r="B37" s="33" t="s">
        <v>15</v>
      </c>
      <c r="C37" s="71">
        <v>2500</v>
      </c>
      <c r="D37" s="1"/>
      <c r="E37" s="10" t="s">
        <v>80</v>
      </c>
      <c r="F37" s="58"/>
      <c r="G37" s="79">
        <v>2000</v>
      </c>
      <c r="H37" s="10">
        <v>1347.47</v>
      </c>
      <c r="I37" s="10">
        <f t="shared" si="0"/>
        <v>166.66666666666666</v>
      </c>
      <c r="J37" s="10"/>
      <c r="K37" s="3" t="s">
        <v>80</v>
      </c>
      <c r="L37" s="96">
        <v>1927.92</v>
      </c>
      <c r="M37" s="96">
        <v>1423.59</v>
      </c>
      <c r="N37" s="3" t="s">
        <v>77</v>
      </c>
    </row>
    <row r="38" spans="1:14" x14ac:dyDescent="0.3">
      <c r="A38" s="1"/>
      <c r="B38" s="33" t="s">
        <v>152</v>
      </c>
      <c r="C38" s="71">
        <v>37500</v>
      </c>
      <c r="D38" s="1"/>
      <c r="E38" s="10"/>
      <c r="F38" s="58"/>
      <c r="G38" s="79"/>
      <c r="H38" s="10"/>
      <c r="I38" s="10"/>
      <c r="J38" s="10"/>
      <c r="L38" s="96"/>
      <c r="M38" s="96">
        <v>3500</v>
      </c>
      <c r="N38" s="3" t="s">
        <v>153</v>
      </c>
    </row>
    <row r="39" spans="1:14" x14ac:dyDescent="0.3">
      <c r="A39" s="1"/>
      <c r="B39" s="33" t="s">
        <v>16</v>
      </c>
      <c r="C39" s="71">
        <v>20000</v>
      </c>
      <c r="D39" s="1"/>
      <c r="E39" s="10" t="s">
        <v>114</v>
      </c>
      <c r="F39" s="58"/>
      <c r="G39" s="79">
        <v>15000</v>
      </c>
      <c r="H39" s="10">
        <v>2607.87</v>
      </c>
      <c r="I39" s="10">
        <f t="shared" si="0"/>
        <v>1250</v>
      </c>
      <c r="J39" s="10"/>
      <c r="K39" s="3" t="s">
        <v>77</v>
      </c>
      <c r="L39" s="96">
        <v>16530.5</v>
      </c>
      <c r="M39" s="96">
        <v>14813.96</v>
      </c>
      <c r="N39" s="3" t="s">
        <v>91</v>
      </c>
    </row>
    <row r="40" spans="1:14" ht="21" customHeight="1" x14ac:dyDescent="0.3">
      <c r="A40" s="1"/>
      <c r="B40" s="33" t="s">
        <v>17</v>
      </c>
      <c r="C40" s="71">
        <v>1000</v>
      </c>
      <c r="D40" s="1"/>
      <c r="E40" s="10" t="s">
        <v>73</v>
      </c>
      <c r="F40" s="58"/>
      <c r="G40" s="79">
        <v>1000</v>
      </c>
      <c r="H40" s="10">
        <v>0</v>
      </c>
      <c r="I40" s="10">
        <f t="shared" si="0"/>
        <v>83.333333333333329</v>
      </c>
      <c r="J40" s="10"/>
      <c r="K40" s="43" t="s">
        <v>73</v>
      </c>
      <c r="L40" s="96">
        <v>10241.25</v>
      </c>
      <c r="M40" s="96">
        <v>30396.83</v>
      </c>
      <c r="N40" s="3" t="s">
        <v>156</v>
      </c>
    </row>
    <row r="41" spans="1:14" x14ac:dyDescent="0.3">
      <c r="A41" s="1"/>
      <c r="B41" s="34" t="s">
        <v>19</v>
      </c>
      <c r="C41" s="72">
        <v>10000</v>
      </c>
      <c r="D41" s="1"/>
      <c r="E41" s="10" t="s">
        <v>126</v>
      </c>
      <c r="F41" s="58"/>
      <c r="G41" s="79">
        <v>15000</v>
      </c>
      <c r="H41" s="10">
        <v>769.82</v>
      </c>
      <c r="I41" s="10">
        <f t="shared" si="0"/>
        <v>1250</v>
      </c>
      <c r="J41" s="10"/>
      <c r="K41" s="3" t="s">
        <v>96</v>
      </c>
      <c r="L41" s="96">
        <v>3349.46</v>
      </c>
      <c r="M41" s="96">
        <v>19875.38</v>
      </c>
      <c r="N41" s="43" t="s">
        <v>73</v>
      </c>
    </row>
    <row r="42" spans="1:14" x14ac:dyDescent="0.3">
      <c r="A42" s="1"/>
      <c r="B42" s="34" t="s">
        <v>20</v>
      </c>
      <c r="C42" s="72">
        <v>1000</v>
      </c>
      <c r="D42" s="1"/>
      <c r="E42" s="10" t="s">
        <v>77</v>
      </c>
      <c r="F42" s="58"/>
      <c r="G42" s="79">
        <v>1000</v>
      </c>
      <c r="H42" s="10">
        <v>0</v>
      </c>
      <c r="I42" s="10">
        <f t="shared" si="0"/>
        <v>83.333333333333329</v>
      </c>
      <c r="J42" s="10"/>
      <c r="K42" s="3" t="s">
        <v>73</v>
      </c>
      <c r="L42" s="96"/>
      <c r="M42" s="96">
        <v>9775</v>
      </c>
      <c r="N42" s="3" t="s">
        <v>77</v>
      </c>
    </row>
    <row r="43" spans="1:14" ht="19.899999999999999" customHeight="1" x14ac:dyDescent="0.3">
      <c r="A43" s="1"/>
      <c r="B43" s="34" t="s">
        <v>21</v>
      </c>
      <c r="C43" s="72">
        <v>250</v>
      </c>
      <c r="D43" s="1"/>
      <c r="E43" s="10" t="s">
        <v>77</v>
      </c>
      <c r="F43" s="58"/>
      <c r="G43" s="79">
        <v>250</v>
      </c>
      <c r="H43" s="10">
        <v>0</v>
      </c>
      <c r="I43" s="10">
        <f t="shared" si="0"/>
        <v>20.833333333333332</v>
      </c>
      <c r="J43" s="10"/>
      <c r="K43" s="3" t="s">
        <v>73</v>
      </c>
      <c r="L43" s="96"/>
      <c r="M43" s="96"/>
      <c r="N43" s="3" t="s">
        <v>73</v>
      </c>
    </row>
    <row r="44" spans="1:14" x14ac:dyDescent="0.3">
      <c r="A44" s="1"/>
      <c r="B44" s="34" t="s">
        <v>22</v>
      </c>
      <c r="C44" s="72">
        <v>5000</v>
      </c>
      <c r="D44" s="1"/>
      <c r="E44" s="10" t="s">
        <v>77</v>
      </c>
      <c r="F44" s="58"/>
      <c r="G44" s="79">
        <v>5000</v>
      </c>
      <c r="H44" s="10">
        <v>2241.8000000000002</v>
      </c>
      <c r="I44" s="10">
        <f t="shared" si="0"/>
        <v>416.66666666666669</v>
      </c>
      <c r="J44" s="10"/>
      <c r="K44" s="3" t="s">
        <v>78</v>
      </c>
      <c r="L44" s="96"/>
      <c r="M44" s="96"/>
      <c r="N44" s="3" t="s">
        <v>73</v>
      </c>
    </row>
    <row r="45" spans="1:14" ht="33.75" customHeight="1" x14ac:dyDescent="0.3">
      <c r="A45" s="1"/>
      <c r="B45" s="33" t="s">
        <v>23</v>
      </c>
      <c r="C45" s="71">
        <v>2000</v>
      </c>
      <c r="D45" s="1"/>
      <c r="E45" s="10" t="s">
        <v>77</v>
      </c>
      <c r="F45" s="58"/>
      <c r="G45" s="79">
        <v>2000</v>
      </c>
      <c r="H45" s="10">
        <v>2383.08</v>
      </c>
      <c r="I45" s="10">
        <f t="shared" si="0"/>
        <v>166.66666666666666</v>
      </c>
      <c r="J45" s="10"/>
      <c r="K45" s="3" t="s">
        <v>73</v>
      </c>
      <c r="L45" s="96">
        <v>706.47</v>
      </c>
      <c r="M45" s="96">
        <v>895.98</v>
      </c>
      <c r="N45" s="3" t="s">
        <v>78</v>
      </c>
    </row>
    <row r="46" spans="1:14" x14ac:dyDescent="0.3">
      <c r="A46" s="1"/>
      <c r="B46" s="33" t="s">
        <v>24</v>
      </c>
      <c r="C46" s="71">
        <v>22000</v>
      </c>
      <c r="D46" s="1"/>
      <c r="E46" s="10" t="s">
        <v>115</v>
      </c>
      <c r="F46" s="58"/>
      <c r="G46" s="79">
        <v>45000</v>
      </c>
      <c r="H46" s="10">
        <v>13139.25</v>
      </c>
      <c r="I46" s="10">
        <f t="shared" si="0"/>
        <v>3750</v>
      </c>
      <c r="J46" s="10"/>
      <c r="K46" s="3" t="s">
        <v>84</v>
      </c>
      <c r="L46" s="96">
        <v>17609.740000000002</v>
      </c>
      <c r="M46" s="96"/>
      <c r="N46" s="3" t="s">
        <v>91</v>
      </c>
    </row>
    <row r="47" spans="1:14" x14ac:dyDescent="0.3">
      <c r="A47" s="1"/>
      <c r="B47" s="33" t="s">
        <v>25</v>
      </c>
      <c r="C47" s="71">
        <v>5000</v>
      </c>
      <c r="D47" s="1"/>
      <c r="E47" s="10" t="s">
        <v>80</v>
      </c>
      <c r="F47" s="58"/>
      <c r="G47" s="79">
        <v>5000</v>
      </c>
      <c r="H47" s="10">
        <v>2170.63</v>
      </c>
      <c r="I47" s="10">
        <f t="shared" si="0"/>
        <v>416.66666666666669</v>
      </c>
      <c r="J47" s="10"/>
      <c r="K47" s="3" t="s">
        <v>85</v>
      </c>
      <c r="L47" s="96">
        <v>3808.12</v>
      </c>
      <c r="M47" s="96">
        <v>8322.0300000000007</v>
      </c>
      <c r="N47" s="3" t="s">
        <v>91</v>
      </c>
    </row>
    <row r="48" spans="1:14" x14ac:dyDescent="0.3">
      <c r="A48" s="1"/>
      <c r="B48" s="33" t="s">
        <v>26</v>
      </c>
      <c r="C48" s="71">
        <v>820000</v>
      </c>
      <c r="D48" s="1"/>
      <c r="E48" s="10" t="s">
        <v>127</v>
      </c>
      <c r="F48" s="58"/>
      <c r="G48" s="79">
        <v>650000</v>
      </c>
      <c r="H48" s="10">
        <v>381566.51</v>
      </c>
      <c r="I48" s="10">
        <f t="shared" si="0"/>
        <v>54166.666666666664</v>
      </c>
      <c r="J48" s="10"/>
      <c r="K48" s="3" t="s">
        <v>98</v>
      </c>
      <c r="L48" s="96">
        <v>711336.94</v>
      </c>
      <c r="M48" s="96">
        <v>449018.46</v>
      </c>
      <c r="N48" s="3" t="s">
        <v>77</v>
      </c>
    </row>
    <row r="49" spans="1:15" x14ac:dyDescent="0.3">
      <c r="A49" s="1"/>
      <c r="B49" s="33" t="s">
        <v>67</v>
      </c>
      <c r="C49" s="71">
        <v>500</v>
      </c>
      <c r="D49" s="1"/>
      <c r="E49" s="10"/>
      <c r="F49" s="58"/>
      <c r="G49" s="79">
        <v>1250</v>
      </c>
      <c r="H49" s="10">
        <v>663.17</v>
      </c>
      <c r="I49" s="10"/>
      <c r="J49" s="10"/>
      <c r="L49" s="96">
        <v>711.52</v>
      </c>
      <c r="M49" s="96">
        <v>314.77999999999997</v>
      </c>
      <c r="O49" s="90"/>
    </row>
    <row r="50" spans="1:15" x14ac:dyDescent="0.3">
      <c r="A50" s="1"/>
      <c r="B50" s="35" t="s">
        <v>72</v>
      </c>
      <c r="C50" s="73">
        <v>14000</v>
      </c>
      <c r="D50" s="11"/>
      <c r="E50" s="37"/>
      <c r="F50" s="61"/>
      <c r="G50" s="85">
        <v>13150</v>
      </c>
      <c r="H50" s="10">
        <v>4131.0200000000004</v>
      </c>
      <c r="I50" s="10">
        <f t="shared" si="0"/>
        <v>1095.8333333333333</v>
      </c>
      <c r="J50" s="37"/>
      <c r="L50" s="110">
        <v>11255.48</v>
      </c>
      <c r="M50" s="126">
        <v>10429.19</v>
      </c>
    </row>
    <row r="51" spans="1:15" x14ac:dyDescent="0.3">
      <c r="A51" s="1"/>
      <c r="B51" s="35" t="s">
        <v>133</v>
      </c>
      <c r="C51" s="73">
        <v>122000</v>
      </c>
      <c r="D51" s="11"/>
      <c r="E51" s="37" t="s">
        <v>134</v>
      </c>
      <c r="F51" s="61"/>
      <c r="G51" s="85">
        <v>40000</v>
      </c>
      <c r="H51" s="10"/>
      <c r="I51" s="10">
        <f t="shared" si="0"/>
        <v>3333.3333333333335</v>
      </c>
      <c r="J51" s="37"/>
      <c r="L51" s="110">
        <v>77156.73</v>
      </c>
      <c r="M51" s="126">
        <v>115341.87</v>
      </c>
      <c r="N51" s="3" t="s">
        <v>150</v>
      </c>
    </row>
    <row r="52" spans="1:15" x14ac:dyDescent="0.3">
      <c r="A52" s="1"/>
      <c r="B52" s="35" t="s">
        <v>160</v>
      </c>
      <c r="C52" s="73"/>
      <c r="D52" s="11"/>
      <c r="E52" s="37"/>
      <c r="F52" s="61"/>
      <c r="G52" s="85"/>
      <c r="H52" s="10"/>
      <c r="I52" s="10"/>
      <c r="J52" s="37"/>
      <c r="L52" s="110"/>
      <c r="M52" s="126">
        <v>195000</v>
      </c>
      <c r="N52" s="3" t="s">
        <v>161</v>
      </c>
    </row>
    <row r="53" spans="1:15" x14ac:dyDescent="0.3">
      <c r="A53" s="1"/>
      <c r="B53" s="35" t="s">
        <v>61</v>
      </c>
      <c r="C53" s="73">
        <v>30000</v>
      </c>
      <c r="D53" s="11"/>
      <c r="E53" s="37"/>
      <c r="F53" s="61"/>
      <c r="G53" s="85"/>
      <c r="H53" s="10"/>
      <c r="I53" s="10"/>
      <c r="J53" s="37"/>
      <c r="L53" s="110"/>
      <c r="M53" s="110"/>
      <c r="N53" s="3" t="s">
        <v>154</v>
      </c>
    </row>
    <row r="54" spans="1:15" x14ac:dyDescent="0.3">
      <c r="A54" s="1"/>
      <c r="B54" s="35" t="s">
        <v>86</v>
      </c>
      <c r="C54" s="73">
        <v>131400</v>
      </c>
      <c r="D54" s="1"/>
      <c r="E54" s="37"/>
      <c r="F54" s="61"/>
      <c r="G54" s="85">
        <v>131400</v>
      </c>
      <c r="H54" s="10" t="e">
        <f>G54-#REF!</f>
        <v>#REF!</v>
      </c>
      <c r="I54" s="10">
        <f t="shared" si="0"/>
        <v>10950</v>
      </c>
      <c r="J54" s="10"/>
      <c r="L54" s="97"/>
      <c r="M54" s="97"/>
    </row>
    <row r="55" spans="1:15" ht="19.5" thickBot="1" x14ac:dyDescent="0.35">
      <c r="A55" s="1"/>
      <c r="B55" s="41" t="s">
        <v>59</v>
      </c>
      <c r="C55" s="74">
        <v>50000</v>
      </c>
      <c r="D55" s="1"/>
      <c r="E55" s="10"/>
      <c r="F55" s="58"/>
      <c r="G55" s="85">
        <v>50000</v>
      </c>
      <c r="H55" s="10" t="e">
        <f>G55-#REF!</f>
        <v>#REF!</v>
      </c>
      <c r="I55" s="10">
        <f t="shared" si="0"/>
        <v>4166.666666666667</v>
      </c>
      <c r="J55" s="10"/>
      <c r="L55" s="97"/>
      <c r="M55" s="97"/>
    </row>
    <row r="56" spans="1:15" ht="19.5" thickBot="1" x14ac:dyDescent="0.35">
      <c r="A56" s="1"/>
      <c r="B56" s="40" t="s">
        <v>27</v>
      </c>
      <c r="C56" s="75">
        <f t="shared" ref="C56:M56" si="9">SUM(C23:C55)</f>
        <v>1771795</v>
      </c>
      <c r="D56" s="40">
        <f t="shared" si="9"/>
        <v>0</v>
      </c>
      <c r="E56" s="75">
        <f t="shared" si="9"/>
        <v>0</v>
      </c>
      <c r="F56" s="75">
        <f t="shared" si="9"/>
        <v>0</v>
      </c>
      <c r="G56" s="75">
        <f t="shared" si="9"/>
        <v>1483050</v>
      </c>
      <c r="H56" s="75" t="e">
        <f t="shared" si="9"/>
        <v>#REF!</v>
      </c>
      <c r="I56" s="75">
        <f t="shared" si="9"/>
        <v>123483.33333333333</v>
      </c>
      <c r="J56" s="75">
        <f t="shared" si="9"/>
        <v>0</v>
      </c>
      <c r="K56" s="75">
        <f t="shared" si="9"/>
        <v>0</v>
      </c>
      <c r="L56" s="75">
        <f t="shared" si="9"/>
        <v>1252474.3799999999</v>
      </c>
      <c r="M56" s="125">
        <f t="shared" si="9"/>
        <v>1208715.74</v>
      </c>
    </row>
    <row r="57" spans="1:15" ht="8.65" customHeight="1" x14ac:dyDescent="0.3">
      <c r="A57" s="1"/>
      <c r="B57" s="25"/>
      <c r="C57" s="25"/>
      <c r="D57" s="1"/>
      <c r="F57" s="55"/>
      <c r="G57" s="9"/>
      <c r="H57" s="10"/>
      <c r="I57" s="10"/>
      <c r="J57" s="10"/>
      <c r="L57" s="107"/>
      <c r="M57" s="107"/>
    </row>
    <row r="58" spans="1:15" ht="27.75" customHeight="1" x14ac:dyDescent="0.3">
      <c r="A58" s="2" t="s">
        <v>29</v>
      </c>
      <c r="B58" s="33" t="s">
        <v>58</v>
      </c>
      <c r="C58" s="71">
        <v>135000</v>
      </c>
      <c r="D58" s="1"/>
      <c r="E58" s="10" t="s">
        <v>113</v>
      </c>
      <c r="F58" s="58"/>
      <c r="G58" s="84">
        <v>168000</v>
      </c>
      <c r="H58" s="10">
        <f>58336.59+4481.74+952.62+6906.36+6530.21+3458.28</f>
        <v>80665.8</v>
      </c>
      <c r="I58" s="10">
        <f t="shared" si="0"/>
        <v>14000</v>
      </c>
      <c r="J58" s="10"/>
      <c r="K58" s="3" t="s">
        <v>71</v>
      </c>
      <c r="L58" s="96">
        <f>87191.07+7282.2+1355.22+11797.78+12566.85+6444.96</f>
        <v>126638.08000000002</v>
      </c>
      <c r="M58" s="96">
        <f>76814.8+5372.37+6168.79+1054.87+10894.26+5831.33</f>
        <v>106136.41999999998</v>
      </c>
      <c r="N58" s="3" t="s">
        <v>71</v>
      </c>
    </row>
    <row r="59" spans="1:15" x14ac:dyDescent="0.3">
      <c r="A59" s="1"/>
      <c r="B59" s="33" t="s">
        <v>6</v>
      </c>
      <c r="C59" s="71">
        <v>5000</v>
      </c>
      <c r="D59" s="11">
        <v>1000</v>
      </c>
      <c r="E59" s="10" t="s">
        <v>77</v>
      </c>
      <c r="F59" s="58"/>
      <c r="G59" s="79">
        <v>5000</v>
      </c>
      <c r="H59" s="10">
        <v>1967.63</v>
      </c>
      <c r="I59" s="10">
        <f t="shared" si="0"/>
        <v>416.66666666666669</v>
      </c>
      <c r="J59" s="10"/>
      <c r="K59" s="3" t="s">
        <v>74</v>
      </c>
      <c r="L59" s="96">
        <v>3609.87</v>
      </c>
      <c r="M59" s="96">
        <v>1122.47</v>
      </c>
      <c r="N59" s="3" t="s">
        <v>74</v>
      </c>
    </row>
    <row r="60" spans="1:15" x14ac:dyDescent="0.3">
      <c r="A60" s="1"/>
      <c r="B60" s="33" t="s">
        <v>54</v>
      </c>
      <c r="C60" s="71">
        <v>42500</v>
      </c>
      <c r="D60" s="11">
        <v>30000</v>
      </c>
      <c r="E60" s="10" t="s">
        <v>112</v>
      </c>
      <c r="F60" s="58"/>
      <c r="G60" s="79">
        <v>28500</v>
      </c>
      <c r="H60" s="10">
        <v>15337.81</v>
      </c>
      <c r="I60" s="10">
        <f t="shared" si="0"/>
        <v>2375</v>
      </c>
      <c r="J60" s="10"/>
      <c r="K60" s="3" t="s">
        <v>75</v>
      </c>
      <c r="L60" s="96">
        <v>29814.52</v>
      </c>
      <c r="M60" s="96">
        <v>28604.560000000001</v>
      </c>
      <c r="N60" s="3" t="s">
        <v>75</v>
      </c>
    </row>
    <row r="61" spans="1:15" x14ac:dyDescent="0.3">
      <c r="A61" s="1"/>
      <c r="B61" s="33" t="s">
        <v>7</v>
      </c>
      <c r="C61" s="71">
        <v>10000</v>
      </c>
      <c r="D61" s="11">
        <v>5000</v>
      </c>
      <c r="E61" s="10" t="s">
        <v>77</v>
      </c>
      <c r="F61" s="58"/>
      <c r="G61" s="79">
        <v>12500</v>
      </c>
      <c r="H61" s="10">
        <v>3868.78</v>
      </c>
      <c r="I61" s="10">
        <f t="shared" si="0"/>
        <v>1041.6666666666667</v>
      </c>
      <c r="J61" s="10"/>
      <c r="K61" s="3" t="s">
        <v>87</v>
      </c>
      <c r="L61" s="96">
        <v>5768.86</v>
      </c>
      <c r="M61" s="96">
        <v>8788.01</v>
      </c>
      <c r="N61" s="3" t="s">
        <v>87</v>
      </c>
    </row>
    <row r="62" spans="1:15" x14ac:dyDescent="0.3">
      <c r="A62" s="1"/>
      <c r="B62" s="33" t="s">
        <v>8</v>
      </c>
      <c r="C62" s="71">
        <v>4000</v>
      </c>
      <c r="D62" s="11">
        <v>0</v>
      </c>
      <c r="E62" s="10" t="s">
        <v>80</v>
      </c>
      <c r="F62" s="58"/>
      <c r="G62" s="79">
        <v>1000</v>
      </c>
      <c r="H62" s="10">
        <v>441.58</v>
      </c>
      <c r="I62" s="10">
        <f t="shared" si="0"/>
        <v>83.333333333333329</v>
      </c>
      <c r="J62" s="10"/>
      <c r="K62" s="3" t="s">
        <v>73</v>
      </c>
      <c r="L62" s="96">
        <f>3573.38+430.03</f>
        <v>4003.41</v>
      </c>
      <c r="M62" s="96">
        <f>913.89+163.65</f>
        <v>1077.54</v>
      </c>
      <c r="N62" s="3" t="s">
        <v>73</v>
      </c>
    </row>
    <row r="63" spans="1:15" x14ac:dyDescent="0.3">
      <c r="A63" s="1"/>
      <c r="B63" s="33" t="s">
        <v>9</v>
      </c>
      <c r="C63" s="71">
        <v>25000</v>
      </c>
      <c r="D63" s="11">
        <v>5000</v>
      </c>
      <c r="E63" s="10" t="s">
        <v>121</v>
      </c>
      <c r="F63" s="58"/>
      <c r="G63" s="79">
        <v>7000</v>
      </c>
      <c r="H63" s="10">
        <v>789.68</v>
      </c>
      <c r="I63" s="10">
        <f t="shared" si="0"/>
        <v>583.33333333333337</v>
      </c>
      <c r="J63" s="10"/>
      <c r="K63" s="3" t="s">
        <v>93</v>
      </c>
      <c r="L63" s="96">
        <v>2596.4899999999998</v>
      </c>
      <c r="M63" s="96">
        <v>17326.060000000001</v>
      </c>
      <c r="N63" s="3" t="s">
        <v>93</v>
      </c>
    </row>
    <row r="64" spans="1:15" x14ac:dyDescent="0.3">
      <c r="A64" s="1"/>
      <c r="B64" s="33" t="s">
        <v>10</v>
      </c>
      <c r="C64" s="71">
        <v>10000</v>
      </c>
      <c r="D64" s="11">
        <v>5000</v>
      </c>
      <c r="E64" s="10" t="s">
        <v>122</v>
      </c>
      <c r="F64" s="58"/>
      <c r="G64" s="79">
        <v>20000</v>
      </c>
      <c r="H64" s="10">
        <v>693.1</v>
      </c>
      <c r="I64" s="10">
        <f t="shared" ref="I64:I84" si="10">G64/12</f>
        <v>1666.6666666666667</v>
      </c>
      <c r="J64" s="10"/>
      <c r="K64" s="3" t="s">
        <v>74</v>
      </c>
      <c r="L64" s="96"/>
      <c r="M64" s="96">
        <v>840</v>
      </c>
      <c r="N64" s="3" t="s">
        <v>74</v>
      </c>
    </row>
    <row r="65" spans="1:14" x14ac:dyDescent="0.3">
      <c r="A65" s="1"/>
      <c r="B65" s="33" t="s">
        <v>11</v>
      </c>
      <c r="C65" s="71">
        <v>8000</v>
      </c>
      <c r="D65" s="11">
        <v>3000</v>
      </c>
      <c r="E65" s="10" t="s">
        <v>124</v>
      </c>
      <c r="F65" s="58"/>
      <c r="G65" s="79">
        <v>10000</v>
      </c>
      <c r="H65" s="10">
        <v>5901.5</v>
      </c>
      <c r="I65" s="10">
        <f t="shared" si="10"/>
        <v>833.33333333333337</v>
      </c>
      <c r="J65" s="10"/>
      <c r="K65" s="3" t="s">
        <v>65</v>
      </c>
      <c r="L65" s="96">
        <v>4820.16</v>
      </c>
      <c r="M65" s="96">
        <v>5000.66</v>
      </c>
      <c r="N65" s="3" t="s">
        <v>65</v>
      </c>
    </row>
    <row r="66" spans="1:14" x14ac:dyDescent="0.3">
      <c r="A66" s="1"/>
      <c r="B66" s="34" t="s">
        <v>12</v>
      </c>
      <c r="C66" s="72">
        <v>1500</v>
      </c>
      <c r="D66" s="11">
        <v>300</v>
      </c>
      <c r="E66" s="10" t="s">
        <v>73</v>
      </c>
      <c r="F66" s="58"/>
      <c r="G66" s="79">
        <v>1500</v>
      </c>
      <c r="H66" s="10">
        <v>309.83</v>
      </c>
      <c r="I66" s="10">
        <f t="shared" si="10"/>
        <v>125</v>
      </c>
      <c r="J66" s="10"/>
      <c r="K66" s="3" t="s">
        <v>73</v>
      </c>
      <c r="L66" s="96"/>
      <c r="M66" s="96">
        <v>250</v>
      </c>
      <c r="N66" s="3" t="s">
        <v>73</v>
      </c>
    </row>
    <row r="67" spans="1:14" x14ac:dyDescent="0.3">
      <c r="A67" s="1"/>
      <c r="B67" s="33" t="s">
        <v>13</v>
      </c>
      <c r="C67" s="71">
        <v>7500</v>
      </c>
      <c r="D67" s="11">
        <v>1500</v>
      </c>
      <c r="E67" s="10" t="s">
        <v>123</v>
      </c>
      <c r="F67" s="58"/>
      <c r="G67" s="79">
        <v>7500</v>
      </c>
      <c r="H67" s="10">
        <f>2437.4+1391.44</f>
        <v>3828.84</v>
      </c>
      <c r="I67" s="10">
        <f t="shared" si="10"/>
        <v>625</v>
      </c>
      <c r="J67" s="10"/>
      <c r="K67" s="3" t="s">
        <v>63</v>
      </c>
      <c r="L67" s="96">
        <f>3745.72+2596.8</f>
        <v>6342.52</v>
      </c>
      <c r="M67" s="96">
        <f>1886.69+2022.33</f>
        <v>3909.02</v>
      </c>
      <c r="N67" s="3" t="s">
        <v>63</v>
      </c>
    </row>
    <row r="68" spans="1:14" x14ac:dyDescent="0.3">
      <c r="A68" s="1"/>
      <c r="B68" s="33" t="s">
        <v>14</v>
      </c>
      <c r="C68" s="71">
        <v>11000</v>
      </c>
      <c r="D68" s="11">
        <v>20000</v>
      </c>
      <c r="E68" s="10" t="s">
        <v>80</v>
      </c>
      <c r="F68" s="58"/>
      <c r="G68" s="79">
        <v>10000</v>
      </c>
      <c r="H68" s="10">
        <v>7237.5</v>
      </c>
      <c r="I68" s="10">
        <f t="shared" si="10"/>
        <v>833.33333333333337</v>
      </c>
      <c r="J68" s="10"/>
      <c r="K68" s="3" t="s">
        <v>80</v>
      </c>
      <c r="L68" s="96">
        <v>340</v>
      </c>
      <c r="M68" s="96">
        <v>82.5</v>
      </c>
      <c r="N68" s="3" t="s">
        <v>141</v>
      </c>
    </row>
    <row r="69" spans="1:14" x14ac:dyDescent="0.3">
      <c r="A69" s="1"/>
      <c r="B69" s="33" t="s">
        <v>15</v>
      </c>
      <c r="C69" s="71">
        <v>2500</v>
      </c>
      <c r="D69" s="11">
        <v>1500</v>
      </c>
      <c r="E69" s="10" t="s">
        <v>80</v>
      </c>
      <c r="F69" s="58"/>
      <c r="G69" s="79">
        <v>2000</v>
      </c>
      <c r="H69" s="10">
        <v>1347.47</v>
      </c>
      <c r="I69" s="10">
        <f t="shared" si="10"/>
        <v>166.66666666666666</v>
      </c>
      <c r="J69" s="10"/>
      <c r="K69" s="3" t="s">
        <v>76</v>
      </c>
      <c r="L69" s="96">
        <v>1927.92</v>
      </c>
      <c r="M69" s="96">
        <v>1423.6</v>
      </c>
      <c r="N69" s="3" t="s">
        <v>74</v>
      </c>
    </row>
    <row r="70" spans="1:14" x14ac:dyDescent="0.3">
      <c r="A70" s="1"/>
      <c r="B70" s="33" t="s">
        <v>152</v>
      </c>
      <c r="C70" s="71">
        <v>37500</v>
      </c>
      <c r="D70" s="11"/>
      <c r="E70" s="10"/>
      <c r="F70" s="58"/>
      <c r="G70" s="79"/>
      <c r="H70" s="10"/>
      <c r="I70" s="10"/>
      <c r="J70" s="10"/>
      <c r="L70" s="96"/>
      <c r="M70" s="96">
        <v>3500</v>
      </c>
      <c r="N70" s="3" t="s">
        <v>153</v>
      </c>
    </row>
    <row r="71" spans="1:14" x14ac:dyDescent="0.3">
      <c r="A71" s="1"/>
      <c r="B71" s="33" t="s">
        <v>16</v>
      </c>
      <c r="C71" s="71">
        <v>25000</v>
      </c>
      <c r="D71" s="11">
        <v>50000</v>
      </c>
      <c r="E71" s="10" t="s">
        <v>114</v>
      </c>
      <c r="F71" s="58"/>
      <c r="G71" s="79">
        <v>15000</v>
      </c>
      <c r="H71" s="10">
        <v>3311.36</v>
      </c>
      <c r="I71" s="10">
        <f t="shared" si="10"/>
        <v>1250</v>
      </c>
      <c r="J71" s="10"/>
      <c r="K71" s="3" t="s">
        <v>90</v>
      </c>
      <c r="L71" s="96">
        <v>18502.5</v>
      </c>
      <c r="M71" s="96">
        <v>4472</v>
      </c>
      <c r="N71" s="3" t="s">
        <v>74</v>
      </c>
    </row>
    <row r="72" spans="1:14" ht="17.25" customHeight="1" x14ac:dyDescent="0.3">
      <c r="A72" s="1"/>
      <c r="B72" s="33" t="s">
        <v>17</v>
      </c>
      <c r="C72" s="71">
        <v>25000</v>
      </c>
      <c r="D72" s="11">
        <v>80000</v>
      </c>
      <c r="E72" s="10" t="s">
        <v>125</v>
      </c>
      <c r="F72" s="58"/>
      <c r="G72" s="79">
        <v>40000</v>
      </c>
      <c r="H72" s="10">
        <v>25165</v>
      </c>
      <c r="I72" s="10">
        <f t="shared" si="10"/>
        <v>3333.3333333333335</v>
      </c>
      <c r="J72" s="10"/>
      <c r="K72" s="43" t="s">
        <v>91</v>
      </c>
      <c r="L72" s="96">
        <v>15607</v>
      </c>
      <c r="M72" s="96">
        <f>42153.64-3500</f>
        <v>38653.64</v>
      </c>
      <c r="N72" s="3" t="s">
        <v>90</v>
      </c>
    </row>
    <row r="73" spans="1:14" x14ac:dyDescent="0.3">
      <c r="A73" s="1"/>
      <c r="B73" s="34" t="s">
        <v>18</v>
      </c>
      <c r="C73" s="72">
        <v>26000</v>
      </c>
      <c r="D73" s="11">
        <v>10000</v>
      </c>
      <c r="E73" s="10" t="s">
        <v>77</v>
      </c>
      <c r="F73" s="58"/>
      <c r="G73" s="79">
        <v>25000</v>
      </c>
      <c r="H73" s="10">
        <v>10000</v>
      </c>
      <c r="I73" s="10">
        <f t="shared" si="10"/>
        <v>2083.3333333333335</v>
      </c>
      <c r="J73" s="10"/>
      <c r="K73" s="3" t="s">
        <v>74</v>
      </c>
      <c r="L73" s="96">
        <v>26508.42</v>
      </c>
      <c r="M73" s="96">
        <v>57227.839999999997</v>
      </c>
      <c r="N73" s="43" t="s">
        <v>91</v>
      </c>
    </row>
    <row r="74" spans="1:14" x14ac:dyDescent="0.3">
      <c r="A74" s="1"/>
      <c r="B74" s="34" t="s">
        <v>19</v>
      </c>
      <c r="C74" s="72">
        <v>25000</v>
      </c>
      <c r="D74" s="11">
        <v>25000</v>
      </c>
      <c r="E74" s="10" t="s">
        <v>77</v>
      </c>
      <c r="F74" s="58"/>
      <c r="G74" s="79">
        <v>25000</v>
      </c>
      <c r="H74" s="10">
        <v>6135.07</v>
      </c>
      <c r="I74" s="10">
        <f t="shared" si="10"/>
        <v>2083.3333333333335</v>
      </c>
      <c r="J74" s="10"/>
      <c r="K74" s="3" t="s">
        <v>74</v>
      </c>
      <c r="L74" s="96">
        <v>13540.06</v>
      </c>
      <c r="M74" s="96">
        <v>19875.41</v>
      </c>
      <c r="N74" s="3" t="s">
        <v>74</v>
      </c>
    </row>
    <row r="75" spans="1:14" x14ac:dyDescent="0.3">
      <c r="A75" s="1"/>
      <c r="B75" s="34" t="s">
        <v>20</v>
      </c>
      <c r="C75" s="72">
        <v>1000</v>
      </c>
      <c r="D75" s="11">
        <v>0</v>
      </c>
      <c r="E75" s="10" t="s">
        <v>73</v>
      </c>
      <c r="F75" s="58"/>
      <c r="G75" s="79">
        <v>1000</v>
      </c>
      <c r="H75" s="10">
        <v>0</v>
      </c>
      <c r="I75" s="10">
        <f t="shared" si="10"/>
        <v>83.333333333333329</v>
      </c>
      <c r="J75" s="10"/>
      <c r="K75" s="3" t="s">
        <v>73</v>
      </c>
      <c r="L75" s="96"/>
      <c r="M75" s="96">
        <v>9775</v>
      </c>
      <c r="N75" s="3" t="s">
        <v>74</v>
      </c>
    </row>
    <row r="76" spans="1:14" x14ac:dyDescent="0.3">
      <c r="A76" s="1"/>
      <c r="B76" s="34" t="s">
        <v>21</v>
      </c>
      <c r="C76" s="72">
        <v>250</v>
      </c>
      <c r="D76" s="11">
        <v>75</v>
      </c>
      <c r="E76" s="10" t="s">
        <v>73</v>
      </c>
      <c r="F76" s="58"/>
      <c r="G76" s="79">
        <v>250</v>
      </c>
      <c r="H76" s="10">
        <v>0</v>
      </c>
      <c r="I76" s="10">
        <f t="shared" si="10"/>
        <v>20.833333333333332</v>
      </c>
      <c r="J76" s="10"/>
      <c r="K76" s="3" t="s">
        <v>73</v>
      </c>
      <c r="L76" s="96"/>
      <c r="M76" s="96"/>
      <c r="N76" s="3" t="s">
        <v>73</v>
      </c>
    </row>
    <row r="77" spans="1:14" x14ac:dyDescent="0.3">
      <c r="A77" s="1"/>
      <c r="B77" s="34" t="s">
        <v>22</v>
      </c>
      <c r="C77" s="72">
        <v>5000</v>
      </c>
      <c r="D77" s="11">
        <v>2500</v>
      </c>
      <c r="E77" s="10" t="s">
        <v>77</v>
      </c>
      <c r="F77" s="58"/>
      <c r="G77" s="79">
        <v>5000</v>
      </c>
      <c r="H77" s="10">
        <v>2241.81</v>
      </c>
      <c r="I77" s="10">
        <f t="shared" si="10"/>
        <v>416.66666666666669</v>
      </c>
      <c r="J77" s="10"/>
      <c r="K77" s="3" t="s">
        <v>78</v>
      </c>
      <c r="L77" s="96"/>
      <c r="M77" s="96">
        <v>68559.67</v>
      </c>
      <c r="N77" s="3" t="s">
        <v>73</v>
      </c>
    </row>
    <row r="78" spans="1:14" x14ac:dyDescent="0.3">
      <c r="A78" s="1"/>
      <c r="B78" s="33" t="s">
        <v>23</v>
      </c>
      <c r="C78" s="71">
        <v>2000</v>
      </c>
      <c r="D78" s="11">
        <v>300</v>
      </c>
      <c r="E78" s="10" t="s">
        <v>77</v>
      </c>
      <c r="F78" s="58"/>
      <c r="G78" s="79">
        <v>2000</v>
      </c>
      <c r="H78" s="10">
        <v>2383.09</v>
      </c>
      <c r="I78" s="10">
        <f t="shared" si="10"/>
        <v>166.66666666666666</v>
      </c>
      <c r="J78" s="10"/>
      <c r="K78" s="3" t="s">
        <v>73</v>
      </c>
      <c r="L78" s="96">
        <v>706.5</v>
      </c>
      <c r="M78" s="96">
        <f>896.05+269.7</f>
        <v>1165.75</v>
      </c>
      <c r="N78" s="3" t="s">
        <v>78</v>
      </c>
    </row>
    <row r="79" spans="1:14" x14ac:dyDescent="0.3">
      <c r="A79" s="1"/>
      <c r="B79" s="33" t="s">
        <v>25</v>
      </c>
      <c r="C79" s="71">
        <v>5000</v>
      </c>
      <c r="D79" s="11">
        <v>20000</v>
      </c>
      <c r="E79" s="10" t="s">
        <v>77</v>
      </c>
      <c r="F79" s="58"/>
      <c r="G79" s="79">
        <v>5000</v>
      </c>
      <c r="H79" s="10">
        <v>2170.64</v>
      </c>
      <c r="I79" s="10">
        <f t="shared" si="10"/>
        <v>416.66666666666669</v>
      </c>
      <c r="J79" s="10"/>
      <c r="K79" s="3" t="s">
        <v>85</v>
      </c>
      <c r="L79" s="96">
        <v>3808.15</v>
      </c>
      <c r="M79" s="96">
        <v>8322.08</v>
      </c>
      <c r="N79" s="3" t="s">
        <v>73</v>
      </c>
    </row>
    <row r="80" spans="1:14" x14ac:dyDescent="0.3">
      <c r="A80" s="1"/>
      <c r="B80" s="33" t="s">
        <v>26</v>
      </c>
      <c r="C80" s="71">
        <v>40000</v>
      </c>
      <c r="D80" s="11">
        <v>35000</v>
      </c>
      <c r="E80" s="10" t="s">
        <v>80</v>
      </c>
      <c r="F80" s="58"/>
      <c r="G80" s="79">
        <v>10000</v>
      </c>
      <c r="H80" s="10">
        <v>6085.84</v>
      </c>
      <c r="I80" s="10">
        <f t="shared" si="10"/>
        <v>833.33333333333337</v>
      </c>
      <c r="J80" s="10"/>
      <c r="K80" s="3" t="s">
        <v>89</v>
      </c>
      <c r="L80" s="96">
        <v>45615.11</v>
      </c>
      <c r="M80" s="96">
        <v>54090.13</v>
      </c>
      <c r="N80" s="3" t="s">
        <v>142</v>
      </c>
    </row>
    <row r="81" spans="1:14" x14ac:dyDescent="0.3">
      <c r="A81" s="1"/>
      <c r="B81" s="34" t="s">
        <v>67</v>
      </c>
      <c r="C81" s="72">
        <v>500</v>
      </c>
      <c r="D81" s="11">
        <v>25000</v>
      </c>
      <c r="E81" s="10"/>
      <c r="F81" s="58"/>
      <c r="G81" s="79">
        <v>1250</v>
      </c>
      <c r="H81" s="10">
        <v>663.16</v>
      </c>
      <c r="I81" s="10">
        <f t="shared" si="10"/>
        <v>104.16666666666667</v>
      </c>
      <c r="J81" s="10"/>
      <c r="L81" s="96">
        <v>711.52</v>
      </c>
      <c r="M81" s="96">
        <v>314.82</v>
      </c>
    </row>
    <row r="82" spans="1:14" x14ac:dyDescent="0.3">
      <c r="A82" s="1"/>
      <c r="B82" s="32" t="s">
        <v>72</v>
      </c>
      <c r="C82" s="76">
        <v>14000</v>
      </c>
      <c r="D82" s="11"/>
      <c r="E82" s="37"/>
      <c r="F82" s="58"/>
      <c r="G82" s="85">
        <v>13150</v>
      </c>
      <c r="H82" s="10">
        <v>4131.0200000000004</v>
      </c>
      <c r="I82" s="10">
        <f t="shared" si="10"/>
        <v>1095.8333333333333</v>
      </c>
      <c r="J82" s="37"/>
      <c r="L82" s="110">
        <v>11255.48</v>
      </c>
      <c r="M82" s="126">
        <v>10429.14</v>
      </c>
    </row>
    <row r="83" spans="1:14" x14ac:dyDescent="0.3">
      <c r="A83" s="1"/>
      <c r="B83" s="32" t="s">
        <v>88</v>
      </c>
      <c r="C83" s="76">
        <v>50000</v>
      </c>
      <c r="D83" s="11"/>
      <c r="E83" s="37"/>
      <c r="F83" s="61"/>
      <c r="G83" s="85"/>
      <c r="H83" s="10"/>
      <c r="I83" s="10"/>
      <c r="J83" s="37"/>
      <c r="L83" s="111">
        <v>31652.62</v>
      </c>
      <c r="M83" s="111"/>
    </row>
    <row r="84" spans="1:14" ht="19.5" thickBot="1" x14ac:dyDescent="0.35">
      <c r="A84" s="1"/>
      <c r="B84" s="35" t="s">
        <v>59</v>
      </c>
      <c r="C84" s="73">
        <v>50000</v>
      </c>
      <c r="D84" s="11"/>
      <c r="F84" s="55"/>
      <c r="G84" s="85">
        <v>50000</v>
      </c>
      <c r="H84" s="10" t="e">
        <f>G84-#REF!</f>
        <v>#REF!</v>
      </c>
      <c r="I84" s="10">
        <f t="shared" si="10"/>
        <v>4166.666666666667</v>
      </c>
      <c r="J84" s="10"/>
      <c r="L84" s="97"/>
      <c r="M84" s="97"/>
    </row>
    <row r="85" spans="1:14" ht="19.5" thickBot="1" x14ac:dyDescent="0.35">
      <c r="A85" s="1"/>
      <c r="B85" s="40" t="s">
        <v>30</v>
      </c>
      <c r="C85" s="75">
        <f>SUM(C58:C84)</f>
        <v>568250</v>
      </c>
      <c r="D85" s="40">
        <f t="shared" ref="D85:M85" si="11">SUM(D58:D84)</f>
        <v>320175</v>
      </c>
      <c r="E85" s="75">
        <f t="shared" si="11"/>
        <v>0</v>
      </c>
      <c r="F85" s="75">
        <f t="shared" si="11"/>
        <v>0</v>
      </c>
      <c r="G85" s="75">
        <f t="shared" si="11"/>
        <v>465650</v>
      </c>
      <c r="H85" s="75" t="e">
        <f t="shared" si="11"/>
        <v>#REF!</v>
      </c>
      <c r="I85" s="75">
        <f t="shared" si="11"/>
        <v>38804.166666666657</v>
      </c>
      <c r="J85" s="75">
        <f t="shared" si="11"/>
        <v>0</v>
      </c>
      <c r="K85" s="75">
        <f t="shared" si="11"/>
        <v>0</v>
      </c>
      <c r="L85" s="75">
        <f t="shared" si="11"/>
        <v>353769.19</v>
      </c>
      <c r="M85" s="125">
        <f t="shared" si="11"/>
        <v>450946.31999999995</v>
      </c>
    </row>
    <row r="86" spans="1:14" x14ac:dyDescent="0.3">
      <c r="A86" s="1"/>
      <c r="B86" s="25"/>
      <c r="C86" s="25"/>
      <c r="D86" s="1"/>
      <c r="E86" s="3" t="s">
        <v>68</v>
      </c>
    </row>
    <row r="87" spans="1:14" hidden="1" x14ac:dyDescent="0.3">
      <c r="A87" s="12"/>
      <c r="B87" s="38"/>
      <c r="C87" s="38"/>
      <c r="D87" s="1"/>
      <c r="E87" s="1"/>
      <c r="F87" s="1"/>
    </row>
    <row r="88" spans="1:14" ht="19.5" hidden="1" thickBot="1" x14ac:dyDescent="0.35">
      <c r="A88" s="12"/>
      <c r="B88" s="38" t="s">
        <v>101</v>
      </c>
      <c r="C88" s="91" t="s">
        <v>130</v>
      </c>
      <c r="D88" s="1"/>
      <c r="E88" s="100" t="s">
        <v>131</v>
      </c>
      <c r="F88" s="1"/>
      <c r="G88" s="89"/>
      <c r="J88" s="51"/>
    </row>
    <row r="89" spans="1:14" ht="19.5" hidden="1" thickBot="1" x14ac:dyDescent="0.35">
      <c r="A89" s="1"/>
      <c r="B89" s="25" t="s">
        <v>110</v>
      </c>
      <c r="C89" s="92">
        <v>718202.16</v>
      </c>
      <c r="D89" s="1"/>
      <c r="E89" s="96">
        <v>720857.8</v>
      </c>
      <c r="F89" s="1"/>
      <c r="G89" s="90"/>
      <c r="H89" s="48"/>
      <c r="I89" s="48"/>
      <c r="J89" s="86"/>
      <c r="K89" s="88"/>
      <c r="N89" s="116">
        <f>SUM(N58:N88)</f>
        <v>0</v>
      </c>
    </row>
    <row r="90" spans="1:14" hidden="1" x14ac:dyDescent="0.3">
      <c r="A90" s="1"/>
      <c r="B90" s="25" t="s">
        <v>102</v>
      </c>
      <c r="C90" s="93">
        <v>108545.77</v>
      </c>
      <c r="D90" s="1"/>
      <c r="E90" s="96">
        <f>C9</f>
        <v>1772500</v>
      </c>
      <c r="F90" s="1"/>
      <c r="G90" s="90"/>
      <c r="J90" s="87"/>
      <c r="K90" s="3" t="s">
        <v>106</v>
      </c>
    </row>
    <row r="91" spans="1:14" hidden="1" x14ac:dyDescent="0.3">
      <c r="A91" s="1"/>
      <c r="B91" s="25" t="s">
        <v>103</v>
      </c>
      <c r="C91" s="93">
        <v>-239464.52</v>
      </c>
      <c r="D91" s="1"/>
      <c r="E91" s="96">
        <v>-1526050</v>
      </c>
      <c r="F91" s="1"/>
      <c r="G91" s="90"/>
      <c r="J91" s="87"/>
      <c r="K91" s="3" t="s">
        <v>107</v>
      </c>
    </row>
    <row r="92" spans="1:14" hidden="1" x14ac:dyDescent="0.3">
      <c r="B92" s="22" t="s">
        <v>128</v>
      </c>
      <c r="C92" s="94">
        <f>C89+C90+C91</f>
        <v>587283.41</v>
      </c>
      <c r="E92" s="98">
        <f>SUM(E89:E91)</f>
        <v>967307.79999999981</v>
      </c>
      <c r="G92" s="49"/>
      <c r="H92" s="49"/>
      <c r="I92" s="49"/>
      <c r="J92" s="52"/>
      <c r="K92" s="88"/>
    </row>
    <row r="93" spans="1:14" hidden="1" x14ac:dyDescent="0.3">
      <c r="B93" s="22" t="s">
        <v>104</v>
      </c>
      <c r="C93" s="93">
        <v>-559317</v>
      </c>
      <c r="E93" s="97">
        <v>-725600</v>
      </c>
      <c r="G93" s="90"/>
      <c r="J93" s="87"/>
      <c r="K93" s="3" t="s">
        <v>108</v>
      </c>
      <c r="N93" s="88"/>
    </row>
    <row r="94" spans="1:14" hidden="1" x14ac:dyDescent="0.3">
      <c r="B94" s="22" t="s">
        <v>135</v>
      </c>
      <c r="C94" s="94">
        <f>SUM(C92:C93)</f>
        <v>27966.410000000033</v>
      </c>
      <c r="E94" s="98">
        <f>SUM(E92:E93)</f>
        <v>241707.79999999981</v>
      </c>
      <c r="G94" s="49"/>
      <c r="H94" s="49"/>
      <c r="I94" s="49"/>
      <c r="J94" s="52"/>
      <c r="K94" s="3" t="s">
        <v>105</v>
      </c>
    </row>
    <row r="95" spans="1:14" hidden="1" x14ac:dyDescent="0.3">
      <c r="C95" s="93"/>
      <c r="E95" s="97"/>
      <c r="G95" s="90"/>
      <c r="J95" s="87"/>
    </row>
    <row r="96" spans="1:14" hidden="1" x14ac:dyDescent="0.3">
      <c r="C96" s="93"/>
      <c r="E96" s="97"/>
      <c r="G96" s="90"/>
      <c r="J96" s="87"/>
      <c r="N96" s="88"/>
    </row>
    <row r="97" spans="2:13" hidden="1" x14ac:dyDescent="0.3">
      <c r="B97" s="22" t="s">
        <v>129</v>
      </c>
      <c r="C97" s="93">
        <v>252877.75</v>
      </c>
      <c r="E97" s="97">
        <v>260578.76</v>
      </c>
      <c r="G97" s="90"/>
      <c r="J97" s="87"/>
    </row>
    <row r="98" spans="2:13" hidden="1" x14ac:dyDescent="0.3">
      <c r="B98" s="22" t="s">
        <v>102</v>
      </c>
      <c r="C98" s="93"/>
      <c r="E98" s="97">
        <f>C14</f>
        <v>636298</v>
      </c>
      <c r="G98" s="90"/>
      <c r="J98" s="87"/>
      <c r="K98" s="3" t="s">
        <v>106</v>
      </c>
    </row>
    <row r="99" spans="2:13" hidden="1" x14ac:dyDescent="0.3">
      <c r="B99" s="22" t="s">
        <v>103</v>
      </c>
      <c r="C99" s="93">
        <v>-126480.76</v>
      </c>
      <c r="E99" s="97">
        <v>-489550</v>
      </c>
      <c r="G99" s="90"/>
      <c r="J99" s="87"/>
      <c r="K99" s="3" t="s">
        <v>107</v>
      </c>
    </row>
    <row r="100" spans="2:13" hidden="1" x14ac:dyDescent="0.3">
      <c r="B100" s="22" t="str">
        <f>B92</f>
        <v xml:space="preserve"> Balance Cash </v>
      </c>
      <c r="C100" s="94">
        <f>C97+C98+C99</f>
        <v>126396.99</v>
      </c>
      <c r="E100" s="98">
        <f>SUM(E97:E99)</f>
        <v>407326.76</v>
      </c>
      <c r="G100" s="49"/>
      <c r="H100" s="49"/>
      <c r="I100" s="49"/>
      <c r="J100" s="52"/>
    </row>
    <row r="101" spans="2:13" hidden="1" x14ac:dyDescent="0.3">
      <c r="B101" s="22" t="s">
        <v>109</v>
      </c>
      <c r="C101" s="93">
        <v>-200000</v>
      </c>
      <c r="E101" s="97">
        <v>-200000</v>
      </c>
      <c r="G101" s="90"/>
      <c r="J101" s="87"/>
      <c r="K101" s="3" t="s">
        <v>108</v>
      </c>
    </row>
    <row r="102" spans="2:13" ht="19.5" hidden="1" thickBot="1" x14ac:dyDescent="0.35">
      <c r="B102" s="22" t="str">
        <f>B94</f>
        <v xml:space="preserve"> Expendable Cash at 7/31/23</v>
      </c>
      <c r="C102" s="95">
        <f>SUM(C100:C101)</f>
        <v>-73603.009999999995</v>
      </c>
      <c r="E102" s="99">
        <f>SUM(E100:E101)</f>
        <v>207326.76</v>
      </c>
      <c r="G102" s="90"/>
      <c r="H102" s="50"/>
      <c r="I102" s="50"/>
      <c r="J102" s="53"/>
      <c r="K102" s="3" t="s">
        <v>105</v>
      </c>
    </row>
    <row r="103" spans="2:13" ht="19.5" thickBot="1" x14ac:dyDescent="0.35"/>
    <row r="104" spans="2:13" x14ac:dyDescent="0.3">
      <c r="B104" s="143" t="s">
        <v>164</v>
      </c>
      <c r="C104" s="127"/>
    </row>
    <row r="105" spans="2:13" ht="19.5" hidden="1" thickBot="1" x14ac:dyDescent="0.35">
      <c r="B105" s="128" t="s">
        <v>101</v>
      </c>
      <c r="C105" s="129" t="s">
        <v>130</v>
      </c>
      <c r="D105" s="1"/>
      <c r="E105" s="100" t="s">
        <v>131</v>
      </c>
      <c r="L105" s="100" t="s">
        <v>131</v>
      </c>
      <c r="M105" s="117"/>
    </row>
    <row r="106" spans="2:13" hidden="1" x14ac:dyDescent="0.3">
      <c r="B106" s="130" t="s">
        <v>143</v>
      </c>
      <c r="C106" s="131"/>
      <c r="D106" s="1"/>
      <c r="E106" s="96">
        <v>718202.16</v>
      </c>
      <c r="L106" s="96">
        <v>718913.55</v>
      </c>
      <c r="M106" s="96"/>
    </row>
    <row r="107" spans="2:13" hidden="1" x14ac:dyDescent="0.3">
      <c r="B107" s="130" t="s">
        <v>102</v>
      </c>
      <c r="C107" s="132"/>
      <c r="D107" s="1"/>
      <c r="E107" s="96">
        <f>C26</f>
        <v>42500</v>
      </c>
      <c r="L107" s="96">
        <v>1778000</v>
      </c>
      <c r="M107" s="96"/>
    </row>
    <row r="108" spans="2:13" hidden="1" x14ac:dyDescent="0.3">
      <c r="B108" s="130" t="s">
        <v>103</v>
      </c>
      <c r="C108" s="132"/>
      <c r="D108" s="1"/>
      <c r="E108" s="96">
        <v>-1586050</v>
      </c>
      <c r="L108" s="96">
        <v>-1586050</v>
      </c>
      <c r="M108" s="96"/>
    </row>
    <row r="109" spans="2:13" hidden="1" x14ac:dyDescent="0.3">
      <c r="B109" s="130" t="s">
        <v>128</v>
      </c>
      <c r="C109" s="133"/>
      <c r="E109" s="98">
        <f>SUM(E106:E108)</f>
        <v>-825347.84</v>
      </c>
      <c r="L109" s="98">
        <f>SUM(L106:L108)</f>
        <v>910863.54999999981</v>
      </c>
      <c r="M109" s="98"/>
    </row>
    <row r="110" spans="2:13" hidden="1" x14ac:dyDescent="0.3">
      <c r="B110" s="130" t="s">
        <v>104</v>
      </c>
      <c r="C110" s="132"/>
      <c r="E110" s="97">
        <v>-725600</v>
      </c>
      <c r="L110" s="97">
        <v>-725600</v>
      </c>
      <c r="M110" s="97"/>
    </row>
    <row r="111" spans="2:13" hidden="1" x14ac:dyDescent="0.3">
      <c r="B111" s="130" t="s">
        <v>144</v>
      </c>
      <c r="C111" s="133"/>
      <c r="E111" s="98">
        <f>SUM(E109:E110)</f>
        <v>-1550947.8399999999</v>
      </c>
      <c r="L111" s="98">
        <f>SUM(L109:L110)</f>
        <v>185263.54999999981</v>
      </c>
      <c r="M111" s="98"/>
    </row>
    <row r="112" spans="2:13" hidden="1" x14ac:dyDescent="0.3">
      <c r="B112" s="134"/>
      <c r="C112" s="132"/>
      <c r="E112" s="97"/>
      <c r="L112" s="97"/>
      <c r="M112" s="97"/>
    </row>
    <row r="113" spans="2:13" hidden="1" x14ac:dyDescent="0.3">
      <c r="B113" s="134"/>
      <c r="C113" s="132"/>
      <c r="E113" s="97"/>
      <c r="L113" s="97"/>
      <c r="M113" s="97"/>
    </row>
    <row r="114" spans="2:13" hidden="1" x14ac:dyDescent="0.3">
      <c r="B114" s="130" t="s">
        <v>145</v>
      </c>
      <c r="C114" s="132"/>
      <c r="E114" s="97">
        <v>252877.75</v>
      </c>
      <c r="L114" s="97">
        <v>251572.71</v>
      </c>
      <c r="M114" s="97"/>
    </row>
    <row r="115" spans="2:13" hidden="1" x14ac:dyDescent="0.3">
      <c r="B115" s="130" t="s">
        <v>102</v>
      </c>
      <c r="C115" s="132"/>
      <c r="E115" s="97">
        <f>C31</f>
        <v>35000</v>
      </c>
      <c r="L115" s="97">
        <v>558761</v>
      </c>
      <c r="M115" s="97"/>
    </row>
    <row r="116" spans="2:13" hidden="1" x14ac:dyDescent="0.3">
      <c r="B116" s="130" t="s">
        <v>103</v>
      </c>
      <c r="C116" s="132"/>
      <c r="E116" s="97">
        <v>-489550</v>
      </c>
      <c r="L116" s="97">
        <v>-489550</v>
      </c>
      <c r="M116" s="97"/>
    </row>
    <row r="117" spans="2:13" hidden="1" x14ac:dyDescent="0.3">
      <c r="B117" s="130" t="str">
        <f>B109</f>
        <v xml:space="preserve"> Balance Cash </v>
      </c>
      <c r="C117" s="133"/>
      <c r="E117" s="98">
        <f>SUM(E114:E116)</f>
        <v>-201672.25</v>
      </c>
      <c r="L117" s="98">
        <f>SUM(L114:L116)</f>
        <v>320783.70999999996</v>
      </c>
      <c r="M117" s="98"/>
    </row>
    <row r="118" spans="2:13" hidden="1" x14ac:dyDescent="0.3">
      <c r="B118" s="130" t="s">
        <v>109</v>
      </c>
      <c r="C118" s="132"/>
      <c r="E118" s="97">
        <v>-200000</v>
      </c>
      <c r="L118" s="97">
        <v>-200000</v>
      </c>
      <c r="M118" s="97"/>
    </row>
    <row r="119" spans="2:13" ht="19.5" hidden="1" thickBot="1" x14ac:dyDescent="0.35">
      <c r="B119" s="130" t="str">
        <f>B111</f>
        <v xml:space="preserve"> Expendable Cash at </v>
      </c>
      <c r="C119" s="135"/>
      <c r="E119" s="99">
        <f>SUM(E117:E118)</f>
        <v>-401672.25</v>
      </c>
      <c r="L119" s="99">
        <f>SUM(L117:L118)</f>
        <v>120783.70999999996</v>
      </c>
      <c r="M119" s="98"/>
    </row>
    <row r="120" spans="2:13" x14ac:dyDescent="0.3">
      <c r="B120" s="134" t="s">
        <v>158</v>
      </c>
      <c r="C120" s="136">
        <v>369326.42</v>
      </c>
    </row>
    <row r="121" spans="2:13" x14ac:dyDescent="0.3">
      <c r="B121" s="134" t="s">
        <v>157</v>
      </c>
      <c r="C121" s="136">
        <v>559574.41</v>
      </c>
    </row>
    <row r="122" spans="2:13" ht="19.5" thickBot="1" x14ac:dyDescent="0.35">
      <c r="B122" s="137" t="s">
        <v>159</v>
      </c>
      <c r="C122" s="138">
        <f>SUM(C120:C121)</f>
        <v>928900.83000000007</v>
      </c>
    </row>
    <row r="124" spans="2:13" ht="21" x14ac:dyDescent="0.45">
      <c r="B124" s="144" t="s">
        <v>165</v>
      </c>
    </row>
    <row r="125" spans="2:13" x14ac:dyDescent="0.3">
      <c r="B125" s="22" t="s">
        <v>166</v>
      </c>
      <c r="C125" s="22">
        <v>153200</v>
      </c>
    </row>
    <row r="126" spans="2:13" x14ac:dyDescent="0.3">
      <c r="B126" s="22" t="s">
        <v>167</v>
      </c>
      <c r="C126" s="22">
        <v>500000</v>
      </c>
    </row>
    <row r="127" spans="2:13" x14ac:dyDescent="0.3">
      <c r="B127" s="22" t="s">
        <v>168</v>
      </c>
      <c r="C127" s="22">
        <v>250000</v>
      </c>
    </row>
    <row r="128" spans="2:13" ht="19.5" thickBot="1" x14ac:dyDescent="0.35">
      <c r="B128" s="139" t="s">
        <v>159</v>
      </c>
      <c r="C128" s="140">
        <f>SUM(C125:C127)</f>
        <v>903200</v>
      </c>
    </row>
    <row r="129" spans="2:3" ht="19.5" thickTop="1" x14ac:dyDescent="0.3"/>
    <row r="130" spans="2:3" ht="21" x14ac:dyDescent="0.45">
      <c r="B130" s="144" t="s">
        <v>169</v>
      </c>
    </row>
    <row r="131" spans="2:3" x14ac:dyDescent="0.3">
      <c r="B131" s="22" t="s">
        <v>158</v>
      </c>
      <c r="C131" s="22">
        <v>450000</v>
      </c>
    </row>
    <row r="132" spans="2:3" x14ac:dyDescent="0.3">
      <c r="B132" s="22" t="s">
        <v>157</v>
      </c>
      <c r="C132" s="22">
        <v>220000</v>
      </c>
    </row>
    <row r="133" spans="2:3" x14ac:dyDescent="0.3">
      <c r="B133" s="145" t="s">
        <v>170</v>
      </c>
      <c r="C133" s="145">
        <v>200000</v>
      </c>
    </row>
    <row r="134" spans="2:3" x14ac:dyDescent="0.3">
      <c r="B134" s="142" t="s">
        <v>171</v>
      </c>
      <c r="C134" s="141">
        <v>120000</v>
      </c>
    </row>
    <row r="135" spans="2:3" ht="19.5" thickBot="1" x14ac:dyDescent="0.35">
      <c r="B135" s="139" t="s">
        <v>159</v>
      </c>
      <c r="C135" s="140">
        <f>SUM(C131:C134)</f>
        <v>990000</v>
      </c>
    </row>
    <row r="136" spans="2:3" ht="19.5" thickTop="1" x14ac:dyDescent="0.3"/>
  </sheetData>
  <mergeCells count="1">
    <mergeCell ref="G2:K2"/>
  </mergeCells>
  <pageMargins left="0.25" right="0" top="0.75" bottom="0.25" header="0.3" footer="0.3"/>
  <pageSetup scale="84" fitToHeight="0" orientation="portrait" r:id="rId1"/>
  <headerFooter>
    <oddHeader xml:space="preserve">&amp;C&amp;"Times New Roman,Bold"&amp;14Reclamation District 2035
Approved Budget 24/25&amp;KFF0000
</oddHeader>
  </headerFooter>
  <rowBreaks count="2" manualBreakCount="2">
    <brk id="44" max="12" man="1"/>
    <brk id="8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28515625" bestFit="1" customWidth="1"/>
    <col min="6" max="6" width="11.28515625" customWidth="1"/>
    <col min="7" max="7" width="9.71093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16" t="s">
        <v>44</v>
      </c>
    </row>
    <row r="2" spans="1:10" x14ac:dyDescent="0.25">
      <c r="C2" s="36" t="s">
        <v>46</v>
      </c>
      <c r="D2" s="36" t="s">
        <v>47</v>
      </c>
      <c r="E2" s="36" t="s">
        <v>48</v>
      </c>
      <c r="F2" s="36" t="s">
        <v>49</v>
      </c>
      <c r="G2" s="36" t="s">
        <v>50</v>
      </c>
    </row>
    <row r="3" spans="1:10" s="13" customFormat="1" ht="15.75" x14ac:dyDescent="0.25">
      <c r="A3" s="13" t="s">
        <v>45</v>
      </c>
      <c r="C3" s="13">
        <v>33600</v>
      </c>
      <c r="D3" s="13">
        <f>C3*0.0765</f>
        <v>2570.4</v>
      </c>
      <c r="E3" s="14">
        <f>7000*3.4%</f>
        <v>238.00000000000003</v>
      </c>
      <c r="F3" s="13">
        <v>800</v>
      </c>
      <c r="G3" s="13">
        <f>C3*10%</f>
        <v>3360</v>
      </c>
    </row>
    <row r="4" spans="1:10" s="13" customFormat="1" ht="15.75" x14ac:dyDescent="0.25">
      <c r="A4" s="13" t="s">
        <v>62</v>
      </c>
      <c r="C4" s="13">
        <v>49920</v>
      </c>
      <c r="D4" s="13">
        <f>C4*0.0765</f>
        <v>3818.88</v>
      </c>
      <c r="E4" s="14">
        <f>7000*3.4%</f>
        <v>238.00000000000003</v>
      </c>
      <c r="F4" s="13">
        <v>11362</v>
      </c>
      <c r="G4" s="13">
        <v>5057</v>
      </c>
    </row>
    <row r="5" spans="1:10" s="13" customFormat="1" ht="15.75" x14ac:dyDescent="0.25">
      <c r="E5" s="14"/>
    </row>
    <row r="6" spans="1:10" s="13" customFormat="1" ht="15.75" x14ac:dyDescent="0.25">
      <c r="C6" s="13">
        <f>SUM(C3:C5)</f>
        <v>83520</v>
      </c>
      <c r="D6" s="13">
        <f t="shared" ref="D6:G6" si="0">SUM(D3:D5)</f>
        <v>6389.2800000000007</v>
      </c>
      <c r="E6" s="13">
        <f t="shared" si="0"/>
        <v>476.00000000000006</v>
      </c>
      <c r="F6" s="13">
        <f t="shared" si="0"/>
        <v>12162</v>
      </c>
      <c r="G6" s="13">
        <f t="shared" si="0"/>
        <v>8417</v>
      </c>
      <c r="H6" s="13">
        <f>SUM(C6:G6)</f>
        <v>110964.28</v>
      </c>
    </row>
    <row r="7" spans="1:10" s="13" customFormat="1" ht="15.75" x14ac:dyDescent="0.25">
      <c r="E7" s="14"/>
    </row>
    <row r="8" spans="1:10" s="13" customFormat="1" ht="15.75" x14ac:dyDescent="0.25">
      <c r="A8" s="13" t="s">
        <v>51</v>
      </c>
      <c r="C8" s="13" t="s">
        <v>52</v>
      </c>
      <c r="E8" s="14" t="s">
        <v>53</v>
      </c>
    </row>
    <row r="9" spans="1:10" s="13" customFormat="1" ht="15.75" x14ac:dyDescent="0.25">
      <c r="E9" s="14"/>
    </row>
    <row r="10" spans="1:10" s="13" customFormat="1" ht="15.75" x14ac:dyDescent="0.25">
      <c r="E10" s="14"/>
      <c r="H10" s="14"/>
    </row>
    <row r="11" spans="1:10" s="13" customFormat="1" ht="15.75" x14ac:dyDescent="0.25">
      <c r="A11" s="13" t="s">
        <v>62</v>
      </c>
      <c r="C11" s="13">
        <f>1400*12</f>
        <v>16800</v>
      </c>
      <c r="E11" s="14">
        <v>0</v>
      </c>
      <c r="H11" s="14">
        <f>C11-E11</f>
        <v>16800</v>
      </c>
    </row>
    <row r="12" spans="1:10" s="13" customFormat="1" ht="15.75" x14ac:dyDescent="0.25">
      <c r="E12" s="14"/>
      <c r="H12" s="14">
        <f>SUM(H10:H11)</f>
        <v>16800</v>
      </c>
    </row>
    <row r="13" spans="1:10" s="13" customFormat="1" ht="15.75" x14ac:dyDescent="0.25">
      <c r="E13" s="14"/>
    </row>
    <row r="14" spans="1:10" s="13" customFormat="1" ht="15.75" x14ac:dyDescent="0.25">
      <c r="E14" s="14"/>
    </row>
    <row r="15" spans="1:10" s="13" customFormat="1" ht="15.75" x14ac:dyDescent="0.25">
      <c r="E15" s="14"/>
      <c r="F15" s="17"/>
      <c r="G15" s="17"/>
      <c r="H15" s="17"/>
      <c r="J15" s="17"/>
    </row>
    <row r="16" spans="1:10" s="13" customFormat="1" ht="15.75" x14ac:dyDescent="0.25">
      <c r="E16" s="14"/>
      <c r="F16" s="18"/>
      <c r="G16" s="18"/>
      <c r="H16" s="18"/>
      <c r="I16" s="18"/>
      <c r="J16" s="18"/>
    </row>
    <row r="17" spans="5:5" s="13" customFormat="1" ht="15.75" x14ac:dyDescent="0.25">
      <c r="E17" s="14"/>
    </row>
    <row r="18" spans="5:5" s="13" customFormat="1" ht="15.75" x14ac:dyDescent="0.25">
      <c r="E18" s="19"/>
    </row>
    <row r="19" spans="5:5" s="13" customFormat="1" ht="15.75" x14ac:dyDescent="0.25">
      <c r="E19" s="14"/>
    </row>
    <row r="20" spans="5:5" x14ac:dyDescent="0.25">
      <c r="E20" s="15"/>
    </row>
    <row r="21" spans="5:5" x14ac:dyDescent="0.25">
      <c r="E21" s="15"/>
    </row>
    <row r="22" spans="5:5" x14ac:dyDescent="0.25">
      <c r="E22" s="15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Denise Costa</cp:lastModifiedBy>
  <cp:lastPrinted>2025-03-17T16:03:25Z</cp:lastPrinted>
  <dcterms:created xsi:type="dcterms:W3CDTF">2016-05-13T15:42:28Z</dcterms:created>
  <dcterms:modified xsi:type="dcterms:W3CDTF">2025-03-17T17:22:06Z</dcterms:modified>
</cp:coreProperties>
</file>