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/>
  <mc:AlternateContent xmlns:mc="http://schemas.openxmlformats.org/markup-compatibility/2006">
    <mc:Choice Requires="x15">
      <x15ac:absPath xmlns:x15ac="http://schemas.microsoft.com/office/spreadsheetml/2010/11/ac" url="S:\Denise RD\Board Meetings\2022\"/>
    </mc:Choice>
  </mc:AlternateContent>
  <xr:revisionPtr revIDLastSave="0" documentId="8_{CDBEF2E4-9EB9-4A1B-9E56-4D636144706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</sheets>
  <definedNames>
    <definedName name="_xlnm.Print_Area" localSheetId="0">Sheet1!$A$1:$M$86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68" i="1" l="1"/>
  <c r="E62" i="1"/>
  <c r="E36" i="1"/>
  <c r="E29" i="1"/>
  <c r="E12" i="1"/>
  <c r="E13" i="1" l="1"/>
  <c r="I52" i="1" l="1"/>
  <c r="D86" i="1"/>
  <c r="D20" i="1" s="1"/>
  <c r="E86" i="1"/>
  <c r="F86" i="1"/>
  <c r="G86" i="1"/>
  <c r="C86" i="1"/>
  <c r="C20" i="1" s="1"/>
  <c r="D56" i="1"/>
  <c r="E56" i="1"/>
  <c r="F56" i="1"/>
  <c r="G56" i="1"/>
  <c r="C56" i="1"/>
  <c r="C19" i="1" s="1"/>
  <c r="D19" i="1"/>
  <c r="C17" i="1"/>
  <c r="G14" i="1"/>
  <c r="E14" i="1"/>
  <c r="C14" i="1"/>
  <c r="G9" i="1"/>
  <c r="E9" i="1"/>
  <c r="C9" i="1"/>
  <c r="H54" i="1"/>
  <c r="I54" i="1"/>
  <c r="E20" i="1" l="1"/>
  <c r="G16" i="1"/>
  <c r="E19" i="1"/>
  <c r="G15" i="1"/>
  <c r="G20" i="1"/>
  <c r="M86" i="1"/>
  <c r="M56" i="1"/>
  <c r="G19" i="1" l="1"/>
  <c r="G17" i="1"/>
  <c r="J56" i="1"/>
  <c r="L74" i="1"/>
  <c r="L68" i="1"/>
  <c r="L58" i="1"/>
  <c r="L36" i="1"/>
  <c r="L23" i="1"/>
  <c r="L13" i="1"/>
  <c r="L7" i="1"/>
  <c r="L9" i="1" s="1"/>
  <c r="L56" i="1" l="1"/>
  <c r="L15" i="1" s="1"/>
  <c r="L86" i="1"/>
  <c r="L16" i="1" s="1"/>
  <c r="L17" i="1" l="1"/>
  <c r="L19" i="1"/>
  <c r="J15" i="1" l="1"/>
  <c r="J86" i="1"/>
  <c r="J16" i="1" s="1"/>
  <c r="J14" i="1"/>
  <c r="J9" i="1"/>
  <c r="J19" i="1" l="1"/>
  <c r="J20" i="1"/>
  <c r="J17" i="1"/>
  <c r="H68" i="1" l="1"/>
  <c r="H58" i="1"/>
  <c r="H36" i="1"/>
  <c r="H23" i="1"/>
  <c r="K86" i="1" l="1"/>
  <c r="K16" i="1" s="1"/>
  <c r="I13" i="1"/>
  <c r="K14" i="1"/>
  <c r="K9" i="1"/>
  <c r="K56" i="1"/>
  <c r="K15" i="1" s="1"/>
  <c r="L14" i="1" l="1"/>
  <c r="L20" i="1" s="1"/>
  <c r="K20" i="1"/>
  <c r="K19" i="1"/>
  <c r="K17" i="1"/>
  <c r="H13" i="1" l="1"/>
  <c r="H14" i="1" s="1"/>
  <c r="H7" i="1"/>
  <c r="H9" i="1" s="1"/>
  <c r="I11" i="1" l="1"/>
  <c r="I6" i="1" l="1"/>
  <c r="I7" i="1"/>
  <c r="I8" i="1"/>
  <c r="I12" i="1"/>
  <c r="I14" i="1" s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1" i="1"/>
  <c r="I55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5" i="1"/>
  <c r="I5" i="1"/>
  <c r="I9" i="1" l="1"/>
  <c r="I58" i="1" l="1"/>
  <c r="I86" i="1" s="1"/>
  <c r="I16" i="1" s="1"/>
  <c r="I20" i="1" s="1"/>
  <c r="I23" i="1"/>
  <c r="I56" i="1" s="1"/>
  <c r="I15" i="1" s="1"/>
  <c r="I19" i="1" l="1"/>
  <c r="I17" i="1"/>
  <c r="H55" i="1"/>
  <c r="H85" i="1"/>
  <c r="H86" i="1" l="1"/>
  <c r="H16" i="1" s="1"/>
  <c r="H20" i="1" s="1"/>
  <c r="H56" i="1"/>
  <c r="H15" i="1" s="1"/>
  <c r="H17" i="1" l="1"/>
  <c r="H19" i="1"/>
  <c r="C11" i="2" l="1"/>
  <c r="H11" i="2" s="1"/>
  <c r="H12" i="2"/>
  <c r="F6" i="2"/>
  <c r="C6" i="2"/>
  <c r="G3" i="2"/>
  <c r="E4" i="2"/>
  <c r="E3" i="2"/>
  <c r="E6" i="2" s="1"/>
  <c r="D4" i="2"/>
  <c r="D3" i="2"/>
  <c r="G6" i="2" l="1"/>
  <c r="D6" i="2"/>
  <c r="H6" i="2" l="1"/>
</calcChain>
</file>

<file path=xl/sharedStrings.xml><?xml version="1.0" encoding="utf-8"?>
<sst xmlns="http://schemas.openxmlformats.org/spreadsheetml/2006/main" count="163" uniqueCount="110">
  <si>
    <t>ACCOUNT NAME/NUMBER</t>
  </si>
  <si>
    <t>Water Delivery by Tenants</t>
  </si>
  <si>
    <t>EXPENSE</t>
  </si>
  <si>
    <t>WD</t>
  </si>
  <si>
    <t>M&amp;O</t>
  </si>
  <si>
    <t>Water Delivery Expenses</t>
  </si>
  <si>
    <t>Communications</t>
  </si>
  <si>
    <t>Maintenance Equipment</t>
  </si>
  <si>
    <t>Maintenance Bldg &amp; improvements</t>
  </si>
  <si>
    <t>Maintenance Supplies</t>
  </si>
  <si>
    <t>Pump Maintenance</t>
  </si>
  <si>
    <t>General Maintenance</t>
  </si>
  <si>
    <t>Memberships</t>
  </si>
  <si>
    <t>Miscellaneous</t>
  </si>
  <si>
    <t>Office Expense</t>
  </si>
  <si>
    <t>Auditing &amp; Fiscal Services</t>
  </si>
  <si>
    <t>Information Services</t>
  </si>
  <si>
    <t>Legal Services</t>
  </si>
  <si>
    <t>Architecture, Engineering &amp; Planning</t>
  </si>
  <si>
    <t>Levee Maintenance</t>
  </si>
  <si>
    <t>Ditch Maintenance</t>
  </si>
  <si>
    <t>Professional &amp; Specialized</t>
  </si>
  <si>
    <t>Publications &amp; Legal Notice</t>
  </si>
  <si>
    <t>Rents &amp; Leases</t>
  </si>
  <si>
    <t>Transportation &amp; Travel</t>
  </si>
  <si>
    <t>Pump Fuel</t>
  </si>
  <si>
    <t>Vehicle Fuel</t>
  </si>
  <si>
    <t>Utilities</t>
  </si>
  <si>
    <t>Total WD Expenses</t>
  </si>
  <si>
    <t>Insurance -Property &amp; Liab</t>
  </si>
  <si>
    <t>M&amp;O Expenses</t>
  </si>
  <si>
    <t>Total M&amp;O Expense</t>
  </si>
  <si>
    <t>W/D Expenses</t>
  </si>
  <si>
    <t>Water Delivery-Winter Water</t>
  </si>
  <si>
    <t>Other Income</t>
  </si>
  <si>
    <t>Staff Training/Travel/Seminars</t>
  </si>
  <si>
    <t>TOTAL EXPENSES</t>
  </si>
  <si>
    <t>W/D INCOME</t>
  </si>
  <si>
    <t>TOTAL W/D INCOME</t>
  </si>
  <si>
    <t>M&amp;O INCOME</t>
  </si>
  <si>
    <t>TOTAL M&amp;O INCOME</t>
  </si>
  <si>
    <t>M&amp;O &amp; Other</t>
  </si>
  <si>
    <t>INTAKE- Pump Expense</t>
  </si>
  <si>
    <t>Beginning Cash $342,500-estimated</t>
  </si>
  <si>
    <t>NET INCOME/LOSS</t>
  </si>
  <si>
    <t>Salary Worksheet</t>
  </si>
  <si>
    <t>Marti</t>
  </si>
  <si>
    <t>Salary</t>
  </si>
  <si>
    <t>FICA</t>
  </si>
  <si>
    <t>Unemployment</t>
  </si>
  <si>
    <t>W/C</t>
  </si>
  <si>
    <t>401K</t>
  </si>
  <si>
    <t>Health Insurance</t>
  </si>
  <si>
    <t>Total Cost</t>
  </si>
  <si>
    <t>Employee Paid</t>
  </si>
  <si>
    <t>Insurance - Prop &amp; Liab</t>
  </si>
  <si>
    <t xml:space="preserve">M&amp;O /Flood Control </t>
  </si>
  <si>
    <t>SCADA Maintenance</t>
  </si>
  <si>
    <t>WDCWA Power Reimbursement</t>
  </si>
  <si>
    <t>RD Employee Salaries, etc.</t>
  </si>
  <si>
    <t>Contigency Reserve</t>
  </si>
  <si>
    <t>Notes</t>
  </si>
  <si>
    <t>Cross Canal Maintenance</t>
  </si>
  <si>
    <t>Jesse</t>
  </si>
  <si>
    <t>overhead &amp; office</t>
  </si>
  <si>
    <t>overhead &amp; office supplies</t>
  </si>
  <si>
    <t>ACWA, CSDA, NCWA</t>
  </si>
  <si>
    <t>YSGA, ACWA, CSDA, NCWA</t>
  </si>
  <si>
    <t>Interest Expense (Backhoe)</t>
  </si>
  <si>
    <t xml:space="preserve"> </t>
  </si>
  <si>
    <t>Actual as of 2/28/21</t>
  </si>
  <si>
    <t>Jesse, Marti &amp; % of CPG employees</t>
  </si>
  <si>
    <t>Jesse &amp; Marti, % of CPG Employees</t>
  </si>
  <si>
    <t>Capital Expense - Backhoe</t>
  </si>
  <si>
    <t>placeholder</t>
  </si>
  <si>
    <t>same as last yr</t>
  </si>
  <si>
    <t>actual</t>
  </si>
  <si>
    <t>increased</t>
  </si>
  <si>
    <t>same as last year</t>
  </si>
  <si>
    <t>Actual as of 6/30/21</t>
  </si>
  <si>
    <t xml:space="preserve">same as last yr </t>
  </si>
  <si>
    <t>Capital Expense - Pump Repair</t>
  </si>
  <si>
    <t xml:space="preserve">Actual as of </t>
  </si>
  <si>
    <t>increased a bit</t>
  </si>
  <si>
    <t>DWR FMAP Agreement 2022</t>
  </si>
  <si>
    <t>Agreement term Jan 1 - Dec 31, 22</t>
  </si>
  <si>
    <t>Qtrly expense WDCWA + 2% &amp; Eaton Maint Agrmt</t>
  </si>
  <si>
    <t>reduced from $10K?</t>
  </si>
  <si>
    <t>increase a bit</t>
  </si>
  <si>
    <t>increased for diesel rates</t>
  </si>
  <si>
    <t>increased for rates</t>
  </si>
  <si>
    <t>Reserve SINKING FUND</t>
  </si>
  <si>
    <t>reduced a bit, incld's vehicles, backhoe, etc.</t>
  </si>
  <si>
    <t>Capital Expense - Pumps</t>
  </si>
  <si>
    <t>office, clubhouse, % RD -increased a bit</t>
  </si>
  <si>
    <t xml:space="preserve">reduced a bit </t>
  </si>
  <si>
    <t>reduced a bit</t>
  </si>
  <si>
    <t>increased from 500K?</t>
  </si>
  <si>
    <t>Approved Budget 21/22</t>
  </si>
  <si>
    <t>Capital Expense-New Truck</t>
  </si>
  <si>
    <t>Capital Expense - New Truck</t>
  </si>
  <si>
    <t>Proposed Budget 22/23</t>
  </si>
  <si>
    <t>no increase</t>
  </si>
  <si>
    <t>increased for FMAP supplies</t>
  </si>
  <si>
    <t>reduced from $60K? Added $40K capital exp</t>
  </si>
  <si>
    <t>includes vehicles, backhoe, etc. more in M&amp;O (FMAP)</t>
  </si>
  <si>
    <t xml:space="preserve"> reduce in WD &amp; add in MO </t>
  </si>
  <si>
    <t>reduced</t>
  </si>
  <si>
    <t>Actuals as of 5/31/22</t>
  </si>
  <si>
    <t xml:space="preserve">228K  2nd Install 22/23 Rent roll , 1/2 Admin 225K + est. 1st 1/2 of 23/24 water $500K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</si>
</sst>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[$$-409]* #,##0.00_);_([$$-409]* \(#,##0.00\);_([$$-409]* &quot;-&quot;?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</font>
    <font>
      <b/>
      <sz val="14"/>
      <name val="Times New Roman"/>
      <family val="1"/>
    </font>
    <font>
      <sz val="14"/>
      <color theme="1"/>
      <name val="Calibri"/>
      <family val="2"/>
      <scheme val="minor"/>
    </font>
    <font>
      <sz val="14"/>
      <name val="Times New Roman"/>
      <family val="1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b/>
      <sz val="14"/>
      <color rgb="FFFF0000"/>
      <name val="Times New Roman"/>
      <family val="1"/>
    </font>
    <font>
      <sz val="14"/>
      <color rgb="FFFF0000"/>
      <name val="Times New Roman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u/>
      <sz val="14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33">
    <xf numFmtId="0" fontId="0" fillId="0" borderId="0" xfId="0"/>
    <xf numFmtId="0" fontId="2" fillId="0" borderId="0" xfId="0" applyFont="1"/>
    <xf numFmtId="43" fontId="3" fillId="0" borderId="5" xfId="0" applyNumberFormat="1" applyFont="1" applyFill="1" applyBorder="1" applyAlignment="1"/>
    <xf numFmtId="0" fontId="4" fillId="0" borderId="0" xfId="0" applyFont="1"/>
    <xf numFmtId="0" fontId="6" fillId="0" borderId="0" xfId="0" applyFont="1"/>
    <xf numFmtId="0" fontId="6" fillId="0" borderId="2" xfId="0" applyFont="1" applyBorder="1"/>
    <xf numFmtId="0" fontId="7" fillId="0" borderId="0" xfId="0" applyFont="1"/>
    <xf numFmtId="0" fontId="6" fillId="2" borderId="0" xfId="0" applyFont="1" applyFill="1"/>
    <xf numFmtId="0" fontId="6" fillId="0" borderId="0" xfId="0" applyFont="1" applyBorder="1"/>
    <xf numFmtId="44" fontId="2" fillId="0" borderId="0" xfId="2" applyFont="1"/>
    <xf numFmtId="44" fontId="2" fillId="0" borderId="0" xfId="2" applyFont="1" applyBorder="1"/>
    <xf numFmtId="0" fontId="6" fillId="0" borderId="6" xfId="0" applyFont="1" applyBorder="1"/>
    <xf numFmtId="44" fontId="6" fillId="0" borderId="6" xfId="2" applyFont="1" applyBorder="1"/>
    <xf numFmtId="44" fontId="6" fillId="0" borderId="4" xfId="2" applyFont="1" applyBorder="1"/>
    <xf numFmtId="44" fontId="6" fillId="0" borderId="0" xfId="2" applyFont="1"/>
    <xf numFmtId="0" fontId="2" fillId="0" borderId="6" xfId="0" applyFont="1" applyBorder="1"/>
    <xf numFmtId="44" fontId="5" fillId="0" borderId="0" xfId="2" applyFont="1" applyFill="1" applyBorder="1" applyAlignment="1"/>
    <xf numFmtId="0" fontId="2" fillId="0" borderId="0" xfId="0" applyFont="1" applyBorder="1"/>
    <xf numFmtId="43" fontId="5" fillId="0" borderId="0" xfId="1" applyFont="1" applyFill="1" applyBorder="1" applyAlignment="1">
      <alignment horizontal="right"/>
    </xf>
    <xf numFmtId="0" fontId="9" fillId="0" borderId="0" xfId="0" applyFont="1"/>
    <xf numFmtId="0" fontId="4" fillId="0" borderId="0" xfId="0" applyFont="1" applyBorder="1"/>
    <xf numFmtId="0" fontId="10" fillId="0" borderId="0" xfId="0" applyFont="1"/>
    <xf numFmtId="164" fontId="10" fillId="0" borderId="0" xfId="0" applyNumberFormat="1" applyFont="1"/>
    <xf numFmtId="164" fontId="0" fillId="0" borderId="0" xfId="0" applyNumberFormat="1"/>
    <xf numFmtId="0" fontId="2" fillId="0" borderId="0" xfId="0" applyFont="1" applyFill="1"/>
    <xf numFmtId="0" fontId="4" fillId="0" borderId="0" xfId="0" applyFont="1" applyFill="1"/>
    <xf numFmtId="0" fontId="12" fillId="0" borderId="0" xfId="0" applyFont="1" applyBorder="1"/>
    <xf numFmtId="0" fontId="0" fillId="0" borderId="0" xfId="0" applyBorder="1"/>
    <xf numFmtId="0" fontId="10" fillId="0" borderId="0" xfId="0" applyFont="1" applyBorder="1"/>
    <xf numFmtId="164" fontId="10" fillId="0" borderId="0" xfId="0" applyNumberFormat="1" applyFont="1" applyBorder="1"/>
    <xf numFmtId="0" fontId="10" fillId="0" borderId="0" xfId="0" applyFont="1" applyBorder="1" applyAlignment="1">
      <alignment horizontal="center"/>
    </xf>
    <xf numFmtId="4" fontId="10" fillId="0" borderId="0" xfId="0" applyNumberFormat="1" applyFont="1" applyBorder="1"/>
    <xf numFmtId="164" fontId="11" fillId="0" borderId="0" xfId="0" applyNumberFormat="1" applyFont="1" applyBorder="1"/>
    <xf numFmtId="0" fontId="2" fillId="3" borderId="0" xfId="0" applyFont="1" applyFill="1"/>
    <xf numFmtId="44" fontId="6" fillId="3" borderId="0" xfId="2" applyFont="1" applyFill="1"/>
    <xf numFmtId="44" fontId="3" fillId="3" borderId="0" xfId="2" applyFont="1" applyFill="1"/>
    <xf numFmtId="44" fontId="3" fillId="3" borderId="6" xfId="2" applyFont="1" applyFill="1" applyBorder="1"/>
    <xf numFmtId="165" fontId="4" fillId="0" borderId="0" xfId="0" applyNumberFormat="1" applyFont="1" applyAlignment="1"/>
    <xf numFmtId="165" fontId="6" fillId="0" borderId="1" xfId="0" applyNumberFormat="1" applyFont="1" applyBorder="1" applyAlignment="1"/>
    <xf numFmtId="165" fontId="6" fillId="2" borderId="0" xfId="0" applyNumberFormat="1" applyFont="1" applyFill="1" applyBorder="1" applyAlignment="1"/>
    <xf numFmtId="165" fontId="2" fillId="0" borderId="0" xfId="0" applyNumberFormat="1" applyFont="1" applyAlignment="1"/>
    <xf numFmtId="165" fontId="6" fillId="0" borderId="6" xfId="0" applyNumberFormat="1" applyFont="1" applyBorder="1" applyAlignment="1">
      <alignment horizontal="right"/>
    </xf>
    <xf numFmtId="165" fontId="6" fillId="0" borderId="0" xfId="0" applyNumberFormat="1" applyFont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165" fontId="6" fillId="3" borderId="0" xfId="0" applyNumberFormat="1" applyFont="1" applyFill="1" applyAlignment="1">
      <alignment horizontal="right"/>
    </xf>
    <xf numFmtId="165" fontId="2" fillId="3" borderId="0" xfId="0" applyNumberFormat="1" applyFont="1" applyFill="1" applyAlignment="1"/>
    <xf numFmtId="165" fontId="2" fillId="3" borderId="6" xfId="0" applyNumberFormat="1" applyFont="1" applyFill="1" applyBorder="1" applyAlignment="1"/>
    <xf numFmtId="165" fontId="9" fillId="0" borderId="0" xfId="0" applyNumberFormat="1" applyFont="1" applyFill="1" applyBorder="1" applyAlignment="1"/>
    <xf numFmtId="165" fontId="5" fillId="0" borderId="0" xfId="0" applyNumberFormat="1" applyFont="1" applyFill="1" applyBorder="1" applyAlignment="1"/>
    <xf numFmtId="165" fontId="5" fillId="0" borderId="0" xfId="0" applyNumberFormat="1" applyFont="1" applyFill="1" applyBorder="1" applyAlignment="1">
      <alignment horizontal="left"/>
    </xf>
    <xf numFmtId="165" fontId="9" fillId="0" borderId="0" xfId="0" applyNumberFormat="1" applyFont="1" applyFill="1" applyBorder="1" applyAlignment="1">
      <alignment horizontal="left"/>
    </xf>
    <xf numFmtId="165" fontId="2" fillId="0" borderId="0" xfId="0" applyNumberFormat="1" applyFont="1" applyBorder="1" applyAlignment="1"/>
    <xf numFmtId="165" fontId="4" fillId="0" borderId="0" xfId="0" applyNumberFormat="1" applyFont="1" applyBorder="1" applyAlignment="1"/>
    <xf numFmtId="165" fontId="2" fillId="0" borderId="0" xfId="0" applyNumberFormat="1" applyFont="1" applyFill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44" fontId="9" fillId="0" borderId="0" xfId="2" applyFont="1" applyFill="1" applyBorder="1" applyAlignment="1"/>
    <xf numFmtId="165" fontId="8" fillId="0" borderId="0" xfId="0" applyNumberFormat="1" applyFont="1" applyBorder="1" applyAlignment="1"/>
    <xf numFmtId="44" fontId="5" fillId="0" borderId="4" xfId="2" applyFont="1" applyFill="1" applyBorder="1" applyAlignment="1"/>
    <xf numFmtId="165" fontId="3" fillId="0" borderId="2" xfId="0" applyNumberFormat="1" applyFont="1" applyFill="1" applyBorder="1" applyAlignment="1">
      <alignment horizontal="right"/>
    </xf>
    <xf numFmtId="44" fontId="3" fillId="0" borderId="2" xfId="2" applyFont="1" applyFill="1" applyBorder="1" applyAlignment="1"/>
    <xf numFmtId="43" fontId="9" fillId="0" borderId="0" xfId="0" applyNumberFormat="1" applyFont="1" applyFill="1" applyBorder="1" applyAlignment="1">
      <alignment horizontal="left"/>
    </xf>
    <xf numFmtId="44" fontId="5" fillId="3" borderId="8" xfId="2" applyFont="1" applyFill="1" applyBorder="1" applyAlignment="1"/>
    <xf numFmtId="0" fontId="7" fillId="0" borderId="0" xfId="0" applyFont="1" applyBorder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7" fillId="0" borderId="3" xfId="0" applyFont="1" applyBorder="1" applyAlignment="1">
      <alignment horizontal="center" wrapText="1"/>
    </xf>
    <xf numFmtId="44" fontId="3" fillId="0" borderId="7" xfId="2" applyFont="1" applyFill="1" applyBorder="1" applyAlignment="1"/>
    <xf numFmtId="0" fontId="6" fillId="0" borderId="9" xfId="0" applyFont="1" applyBorder="1"/>
    <xf numFmtId="0" fontId="7" fillId="0" borderId="10" xfId="0" applyFont="1" applyBorder="1" applyAlignment="1">
      <alignment horizontal="center" wrapText="1"/>
    </xf>
    <xf numFmtId="0" fontId="12" fillId="0" borderId="0" xfId="0" applyFont="1" applyBorder="1" applyAlignment="1">
      <alignment horizontal="center"/>
    </xf>
    <xf numFmtId="44" fontId="4" fillId="0" borderId="0" xfId="0" applyNumberFormat="1" applyFont="1" applyBorder="1"/>
    <xf numFmtId="44" fontId="7" fillId="0" borderId="0" xfId="0" applyNumberFormat="1" applyFont="1" applyBorder="1"/>
    <xf numFmtId="0" fontId="4" fillId="0" borderId="8" xfId="0" applyFont="1" applyBorder="1"/>
    <xf numFmtId="44" fontId="7" fillId="0" borderId="0" xfId="0" applyNumberFormat="1" applyFont="1"/>
    <xf numFmtId="44" fontId="7" fillId="0" borderId="6" xfId="0" applyNumberFormat="1" applyFont="1" applyBorder="1"/>
    <xf numFmtId="0" fontId="15" fillId="3" borderId="0" xfId="0" applyFont="1" applyFill="1" applyAlignment="1">
      <alignment horizontal="center" wrapText="1"/>
    </xf>
    <xf numFmtId="44" fontId="7" fillId="3" borderId="0" xfId="0" applyNumberFormat="1" applyFont="1" applyFill="1"/>
    <xf numFmtId="44" fontId="7" fillId="3" borderId="6" xfId="0" applyNumberFormat="1" applyFont="1" applyFill="1" applyBorder="1"/>
    <xf numFmtId="165" fontId="2" fillId="0" borderId="0" xfId="0" applyNumberFormat="1" applyFont="1" applyFill="1" applyAlignment="1">
      <alignment horizontal="right"/>
    </xf>
    <xf numFmtId="0" fontId="6" fillId="0" borderId="2" xfId="0" applyFont="1" applyBorder="1" applyAlignment="1">
      <alignment horizontal="center" wrapText="1"/>
    </xf>
    <xf numFmtId="0" fontId="4" fillId="4" borderId="0" xfId="0" applyFont="1" applyFill="1"/>
    <xf numFmtId="0" fontId="6" fillId="4" borderId="2" xfId="0" applyFont="1" applyFill="1" applyBorder="1" applyAlignment="1">
      <alignment horizontal="center" wrapText="1"/>
    </xf>
    <xf numFmtId="0" fontId="6" fillId="4" borderId="0" xfId="0" applyFont="1" applyFill="1" applyBorder="1"/>
    <xf numFmtId="44" fontId="5" fillId="4" borderId="0" xfId="2" applyFont="1" applyFill="1" applyBorder="1" applyAlignment="1"/>
    <xf numFmtId="44" fontId="5" fillId="4" borderId="4" xfId="2" applyFont="1" applyFill="1" applyBorder="1" applyAlignment="1"/>
    <xf numFmtId="44" fontId="6" fillId="4" borderId="6" xfId="2" applyFont="1" applyFill="1" applyBorder="1"/>
    <xf numFmtId="44" fontId="6" fillId="4" borderId="0" xfId="2" applyFont="1" applyFill="1"/>
    <xf numFmtId="44" fontId="6" fillId="4" borderId="4" xfId="2" applyFont="1" applyFill="1" applyBorder="1"/>
    <xf numFmtId="0" fontId="2" fillId="4" borderId="0" xfId="0" applyFont="1" applyFill="1"/>
    <xf numFmtId="0" fontId="2" fillId="4" borderId="6" xfId="0" applyFont="1" applyFill="1" applyBorder="1"/>
    <xf numFmtId="44" fontId="9" fillId="4" borderId="0" xfId="2" applyFont="1" applyFill="1" applyBorder="1" applyAlignment="1"/>
    <xf numFmtId="165" fontId="3" fillId="4" borderId="2" xfId="0" applyNumberFormat="1" applyFont="1" applyFill="1" applyBorder="1" applyAlignment="1">
      <alignment horizontal="right"/>
    </xf>
    <xf numFmtId="44" fontId="5" fillId="5" borderId="0" xfId="2" applyFont="1" applyFill="1" applyBorder="1" applyAlignment="1"/>
    <xf numFmtId="165" fontId="6" fillId="6" borderId="2" xfId="0" applyNumberFormat="1" applyFont="1" applyFill="1" applyBorder="1" applyAlignment="1">
      <alignment horizontal="center" wrapText="1"/>
    </xf>
    <xf numFmtId="165" fontId="6" fillId="6" borderId="0" xfId="0" applyNumberFormat="1" applyFont="1" applyFill="1" applyBorder="1" applyAlignment="1"/>
    <xf numFmtId="165" fontId="2" fillId="6" borderId="0" xfId="0" applyNumberFormat="1" applyFont="1" applyFill="1" applyAlignment="1">
      <alignment horizontal="right"/>
    </xf>
    <xf numFmtId="165" fontId="2" fillId="6" borderId="4" xfId="0" applyNumberFormat="1" applyFont="1" applyFill="1" applyBorder="1" applyAlignment="1">
      <alignment horizontal="right"/>
    </xf>
    <xf numFmtId="165" fontId="6" fillId="6" borderId="6" xfId="0" applyNumberFormat="1" applyFont="1" applyFill="1" applyBorder="1" applyAlignment="1">
      <alignment horizontal="right"/>
    </xf>
    <xf numFmtId="165" fontId="6" fillId="6" borderId="0" xfId="0" applyNumberFormat="1" applyFont="1" applyFill="1" applyBorder="1" applyAlignment="1">
      <alignment horizontal="right"/>
    </xf>
    <xf numFmtId="165" fontId="2" fillId="6" borderId="0" xfId="0" applyNumberFormat="1" applyFont="1" applyFill="1" applyBorder="1" applyAlignment="1">
      <alignment horizontal="right"/>
    </xf>
    <xf numFmtId="165" fontId="2" fillId="6" borderId="0" xfId="0" applyNumberFormat="1" applyFont="1" applyFill="1" applyAlignment="1"/>
    <xf numFmtId="165" fontId="2" fillId="6" borderId="4" xfId="0" applyNumberFormat="1" applyFont="1" applyFill="1" applyBorder="1" applyAlignment="1"/>
    <xf numFmtId="165" fontId="5" fillId="6" borderId="0" xfId="0" applyNumberFormat="1" applyFont="1" applyFill="1" applyBorder="1" applyAlignment="1"/>
    <xf numFmtId="165" fontId="5" fillId="6" borderId="0" xfId="0" applyNumberFormat="1" applyFont="1" applyFill="1" applyBorder="1" applyAlignment="1">
      <alignment horizontal="left"/>
    </xf>
    <xf numFmtId="165" fontId="9" fillId="6" borderId="0" xfId="0" applyNumberFormat="1" applyFont="1" applyFill="1" applyBorder="1" applyAlignment="1">
      <alignment horizontal="left"/>
    </xf>
    <xf numFmtId="43" fontId="9" fillId="6" borderId="0" xfId="0" applyNumberFormat="1" applyFont="1" applyFill="1" applyBorder="1" applyAlignment="1">
      <alignment horizontal="left"/>
    </xf>
    <xf numFmtId="165" fontId="3" fillId="6" borderId="2" xfId="0" applyNumberFormat="1" applyFont="1" applyFill="1" applyBorder="1" applyAlignment="1">
      <alignment horizontal="right"/>
    </xf>
    <xf numFmtId="165" fontId="9" fillId="6" borderId="0" xfId="0" applyNumberFormat="1" applyFont="1" applyFill="1" applyBorder="1" applyAlignment="1"/>
    <xf numFmtId="0" fontId="6" fillId="7" borderId="1" xfId="0" applyFont="1" applyFill="1" applyBorder="1" applyAlignment="1">
      <alignment horizontal="center" wrapText="1"/>
    </xf>
    <xf numFmtId="0" fontId="7" fillId="7" borderId="0" xfId="0" applyFont="1" applyFill="1"/>
    <xf numFmtId="44" fontId="5" fillId="7" borderId="0" xfId="2" applyFont="1" applyFill="1" applyBorder="1" applyAlignment="1"/>
    <xf numFmtId="44" fontId="5" fillId="7" borderId="4" xfId="2" applyFont="1" applyFill="1" applyBorder="1" applyAlignment="1"/>
    <xf numFmtId="44" fontId="6" fillId="7" borderId="6" xfId="2" applyFont="1" applyFill="1" applyBorder="1"/>
    <xf numFmtId="44" fontId="6" fillId="7" borderId="0" xfId="2" applyFont="1" applyFill="1" applyBorder="1"/>
    <xf numFmtId="44" fontId="2" fillId="7" borderId="0" xfId="2" applyFont="1" applyFill="1" applyBorder="1"/>
    <xf numFmtId="44" fontId="2" fillId="7" borderId="4" xfId="2" applyFont="1" applyFill="1" applyBorder="1"/>
    <xf numFmtId="44" fontId="6" fillId="7" borderId="0" xfId="2" applyFont="1" applyFill="1"/>
    <xf numFmtId="44" fontId="6" fillId="7" borderId="4" xfId="2" applyFont="1" applyFill="1" applyBorder="1"/>
    <xf numFmtId="44" fontId="2" fillId="7" borderId="0" xfId="2" applyFont="1" applyFill="1"/>
    <xf numFmtId="44" fontId="9" fillId="7" borderId="0" xfId="2" applyFont="1" applyFill="1" applyBorder="1" applyAlignment="1"/>
    <xf numFmtId="165" fontId="3" fillId="7" borderId="2" xfId="0" applyNumberFormat="1" applyFont="1" applyFill="1" applyBorder="1" applyAlignment="1">
      <alignment horizontal="right"/>
    </xf>
    <xf numFmtId="44" fontId="4" fillId="3" borderId="8" xfId="0" applyNumberFormat="1" applyFont="1" applyFill="1" applyBorder="1"/>
    <xf numFmtId="44" fontId="4" fillId="3" borderId="0" xfId="0" applyNumberFormat="1" applyFont="1" applyFill="1" applyBorder="1"/>
    <xf numFmtId="14" fontId="4" fillId="0" borderId="0" xfId="0" applyNumberFormat="1" applyFont="1" applyBorder="1"/>
    <xf numFmtId="0" fontId="15" fillId="0" borderId="0" xfId="0" applyFont="1" applyFill="1" applyBorder="1" applyAlignment="1">
      <alignment horizontal="center" wrapText="1"/>
    </xf>
    <xf numFmtId="44" fontId="4" fillId="0" borderId="0" xfId="0" applyNumberFormat="1" applyFont="1" applyFill="1" applyBorder="1"/>
    <xf numFmtId="44" fontId="7" fillId="0" borderId="0" xfId="0" applyNumberFormat="1" applyFont="1" applyFill="1" applyBorder="1"/>
    <xf numFmtId="44" fontId="7" fillId="0" borderId="0" xfId="0" applyNumberFormat="1" applyFont="1" applyFill="1"/>
    <xf numFmtId="44" fontId="4" fillId="0" borderId="0" xfId="0" applyNumberFormat="1" applyFont="1" applyFill="1"/>
    <xf numFmtId="0" fontId="14" fillId="0" borderId="0" xfId="0" applyFont="1" applyAlignment="1">
      <alignment horizontal="center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06"/>
  <sheetViews>
    <sheetView tabSelected="1" topLeftCell="A69" zoomScaleNormal="100" zoomScaleSheetLayoutView="100" workbookViewId="0">
      <selection sqref="A1:K86"/>
    </sheetView>
  </sheetViews>
  <sheetFormatPr defaultColWidth="9.28515625" defaultRowHeight="18.75" x14ac:dyDescent="0.3"/>
  <cols>
    <col min="1" max="1" width="25.7109375" style="3" customWidth="1"/>
    <col min="2" max="2" width="40" style="37" customWidth="1"/>
    <col min="3" max="3" width="26" style="37" customWidth="1"/>
    <col min="4" max="4" width="2.7109375" style="3" customWidth="1"/>
    <col min="5" max="5" width="22.140625" style="3" customWidth="1"/>
    <col min="6" max="6" width="1.28515625" style="3" customWidth="1"/>
    <col min="7" max="7" width="23.28515625" style="3" customWidth="1"/>
    <col min="8" max="9" width="17.5703125" style="3" hidden="1" customWidth="1"/>
    <col min="10" max="10" width="20.5703125" style="3" hidden="1" customWidth="1"/>
    <col min="11" max="11" width="51.85546875" style="3" hidden="1" customWidth="1"/>
    <col min="12" max="12" width="20.5703125" style="3" hidden="1" customWidth="1"/>
    <col min="13" max="13" width="11.28515625" style="3" hidden="1" customWidth="1"/>
    <col min="14" max="16384" width="9.28515625" style="3"/>
  </cols>
  <sheetData>
    <row r="1" spans="1:12" x14ac:dyDescent="0.3">
      <c r="A1" s="3" t="s">
        <v>69</v>
      </c>
      <c r="F1" s="25"/>
    </row>
    <row r="2" spans="1:12" ht="34.9" customHeight="1" thickBot="1" x14ac:dyDescent="0.35">
      <c r="F2" s="25"/>
      <c r="G2" s="132"/>
      <c r="H2" s="132"/>
      <c r="I2" s="132"/>
      <c r="J2" s="132"/>
      <c r="K2" s="132"/>
    </row>
    <row r="3" spans="1:12" s="6" customFormat="1" ht="39" customHeight="1" thickBot="1" x14ac:dyDescent="0.35">
      <c r="A3" s="4"/>
      <c r="B3" s="38" t="s">
        <v>0</v>
      </c>
      <c r="C3" s="96" t="s">
        <v>98</v>
      </c>
      <c r="D3" s="5"/>
      <c r="E3" s="82" t="s">
        <v>108</v>
      </c>
      <c r="F3" s="84"/>
      <c r="G3" s="111" t="s">
        <v>101</v>
      </c>
      <c r="H3" s="68" t="s">
        <v>70</v>
      </c>
      <c r="I3" s="64"/>
      <c r="J3" s="71" t="s">
        <v>82</v>
      </c>
      <c r="K3" s="6" t="s">
        <v>61</v>
      </c>
      <c r="L3" s="68" t="s">
        <v>79</v>
      </c>
    </row>
    <row r="4" spans="1:12" s="6" customFormat="1" hidden="1" x14ac:dyDescent="0.3">
      <c r="A4" s="7" t="s">
        <v>43</v>
      </c>
      <c r="B4" s="39"/>
      <c r="C4" s="97"/>
      <c r="D4" s="8"/>
      <c r="E4" s="8"/>
      <c r="F4" s="85"/>
      <c r="G4" s="112"/>
    </row>
    <row r="5" spans="1:12" ht="30" customHeight="1" x14ac:dyDescent="0.3">
      <c r="A5" s="1" t="s">
        <v>37</v>
      </c>
      <c r="B5" s="54" t="s">
        <v>1</v>
      </c>
      <c r="C5" s="98">
        <v>957000</v>
      </c>
      <c r="D5" s="1"/>
      <c r="E5" s="16">
        <v>471144.56</v>
      </c>
      <c r="F5" s="86"/>
      <c r="G5" s="113">
        <v>953000</v>
      </c>
      <c r="H5" s="16">
        <v>499286.23</v>
      </c>
      <c r="I5" s="16">
        <f>G5/12</f>
        <v>79416.666666666672</v>
      </c>
      <c r="J5" s="16"/>
      <c r="K5" s="67" t="s">
        <v>109</v>
      </c>
      <c r="L5" s="16">
        <v>952147.87</v>
      </c>
    </row>
    <row r="6" spans="1:12" x14ac:dyDescent="0.3">
      <c r="A6" s="1"/>
      <c r="B6" s="54" t="s">
        <v>33</v>
      </c>
      <c r="C6" s="98">
        <v>125000</v>
      </c>
      <c r="D6" s="1"/>
      <c r="E6" s="16">
        <v>105829.75999999999</v>
      </c>
      <c r="F6" s="86"/>
      <c r="G6" s="113">
        <v>125000</v>
      </c>
      <c r="H6" s="16">
        <v>136518.25</v>
      </c>
      <c r="I6" s="16">
        <f t="shared" ref="I6:I63" si="0">G6/12</f>
        <v>10416.666666666666</v>
      </c>
      <c r="J6" s="16"/>
      <c r="K6" s="3" t="s">
        <v>75</v>
      </c>
      <c r="L6" s="16">
        <v>148220.5</v>
      </c>
    </row>
    <row r="7" spans="1:12" ht="19.899999999999999" customHeight="1" x14ac:dyDescent="0.3">
      <c r="A7" s="1"/>
      <c r="B7" s="54" t="s">
        <v>34</v>
      </c>
      <c r="C7" s="98">
        <v>2500</v>
      </c>
      <c r="D7" s="1"/>
      <c r="E7" s="16">
        <v>6998.33</v>
      </c>
      <c r="F7" s="86"/>
      <c r="G7" s="113">
        <v>5000</v>
      </c>
      <c r="H7" s="16">
        <f>30.34+2924.71</f>
        <v>2955.05</v>
      </c>
      <c r="I7" s="16">
        <f t="shared" si="0"/>
        <v>416.66666666666669</v>
      </c>
      <c r="J7" s="16"/>
      <c r="K7" s="3" t="s">
        <v>74</v>
      </c>
      <c r="L7" s="16">
        <f>30.34+2924.71</f>
        <v>2955.05</v>
      </c>
    </row>
    <row r="8" spans="1:12" ht="19.5" thickBot="1" x14ac:dyDescent="0.35">
      <c r="A8" s="1"/>
      <c r="B8" s="54" t="s">
        <v>58</v>
      </c>
      <c r="C8" s="99">
        <v>350000</v>
      </c>
      <c r="D8" s="1"/>
      <c r="E8" s="59">
        <v>404747.49</v>
      </c>
      <c r="F8" s="87"/>
      <c r="G8" s="114">
        <v>460000</v>
      </c>
      <c r="H8" s="16">
        <v>213822.47</v>
      </c>
      <c r="I8" s="16">
        <f t="shared" si="0"/>
        <v>38333.333333333336</v>
      </c>
      <c r="J8" s="59"/>
      <c r="K8" s="3" t="s">
        <v>83</v>
      </c>
      <c r="L8" s="16">
        <v>366678.04</v>
      </c>
    </row>
    <row r="9" spans="1:12" ht="20.25" thickTop="1" thickBot="1" x14ac:dyDescent="0.35">
      <c r="A9" s="1"/>
      <c r="B9" s="41" t="s">
        <v>38</v>
      </c>
      <c r="C9" s="100">
        <f>SUM(C5:C8)</f>
        <v>1434500</v>
      </c>
      <c r="D9" s="11"/>
      <c r="E9" s="12">
        <f>SUM(E5:E8)</f>
        <v>988720.1399999999</v>
      </c>
      <c r="F9" s="88"/>
      <c r="G9" s="115">
        <f>SUM(G5:G8)</f>
        <v>1543000</v>
      </c>
      <c r="H9" s="12">
        <f t="shared" ref="H9:J9" si="1">SUM(H5:H8)</f>
        <v>852582</v>
      </c>
      <c r="I9" s="12">
        <f t="shared" si="1"/>
        <v>128583.33333333334</v>
      </c>
      <c r="J9" s="12">
        <f t="shared" si="1"/>
        <v>0</v>
      </c>
      <c r="K9" s="69">
        <f>SUM(K5:K8)</f>
        <v>0</v>
      </c>
      <c r="L9" s="69">
        <f>SUM(L5:L8)</f>
        <v>1470001.4600000002</v>
      </c>
    </row>
    <row r="10" spans="1:12" ht="20.25" customHeight="1" x14ac:dyDescent="0.3">
      <c r="A10" s="1"/>
      <c r="B10" s="42"/>
      <c r="C10" s="101"/>
      <c r="D10" s="8"/>
      <c r="E10" s="16"/>
      <c r="F10" s="86"/>
      <c r="G10" s="116"/>
      <c r="H10" s="16"/>
      <c r="I10" s="16"/>
      <c r="J10" s="16"/>
      <c r="L10" s="16"/>
    </row>
    <row r="11" spans="1:12" x14ac:dyDescent="0.3">
      <c r="A11" s="1" t="s">
        <v>39</v>
      </c>
      <c r="B11" s="43" t="s">
        <v>56</v>
      </c>
      <c r="C11" s="102">
        <v>466488</v>
      </c>
      <c r="D11" s="8"/>
      <c r="E11" s="16">
        <v>457118.62</v>
      </c>
      <c r="F11" s="86"/>
      <c r="G11" s="117">
        <v>457118.62</v>
      </c>
      <c r="H11" s="16">
        <v>457153.6</v>
      </c>
      <c r="I11" s="16">
        <f>G11/12</f>
        <v>38093.218333333331</v>
      </c>
      <c r="J11" s="16"/>
      <c r="K11" s="3" t="s">
        <v>102</v>
      </c>
      <c r="L11" s="16">
        <v>457153.6</v>
      </c>
    </row>
    <row r="12" spans="1:12" x14ac:dyDescent="0.3">
      <c r="A12" s="1"/>
      <c r="B12" s="81" t="s">
        <v>84</v>
      </c>
      <c r="C12" s="98">
        <v>80000</v>
      </c>
      <c r="D12" s="24"/>
      <c r="E12" s="16">
        <f>42579.44+20434.98</f>
        <v>63014.42</v>
      </c>
      <c r="F12" s="86"/>
      <c r="G12" s="117">
        <v>90000</v>
      </c>
      <c r="H12" s="16">
        <v>0</v>
      </c>
      <c r="I12" s="16">
        <f t="shared" si="0"/>
        <v>7500</v>
      </c>
      <c r="J12" s="16"/>
      <c r="K12" s="3" t="s">
        <v>85</v>
      </c>
      <c r="L12" s="16">
        <v>87682.95</v>
      </c>
    </row>
    <row r="13" spans="1:12" ht="19.5" thickBot="1" x14ac:dyDescent="0.35">
      <c r="A13" s="1"/>
      <c r="B13" s="53" t="s">
        <v>34</v>
      </c>
      <c r="C13" s="99">
        <v>2500</v>
      </c>
      <c r="D13" s="8"/>
      <c r="E13" s="59">
        <f>3744.91+159.35</f>
        <v>3904.2599999999998</v>
      </c>
      <c r="F13" s="87"/>
      <c r="G13" s="118">
        <v>2500</v>
      </c>
      <c r="H13" s="59">
        <f>53.53+2924.53</f>
        <v>2978.0600000000004</v>
      </c>
      <c r="I13" s="59">
        <f t="shared" ref="I13" si="2">53.53+2924.53</f>
        <v>2978.0600000000004</v>
      </c>
      <c r="J13" s="59"/>
      <c r="K13" s="59" t="s">
        <v>74</v>
      </c>
      <c r="L13" s="59">
        <f>5175.53+2924.71</f>
        <v>8100.24</v>
      </c>
    </row>
    <row r="14" spans="1:12" ht="20.25" thickTop="1" thickBot="1" x14ac:dyDescent="0.35">
      <c r="A14" s="1"/>
      <c r="B14" s="41" t="s">
        <v>40</v>
      </c>
      <c r="C14" s="100">
        <f>SUM(C11:C13)</f>
        <v>548988</v>
      </c>
      <c r="D14" s="11"/>
      <c r="E14" s="12">
        <f>SUM(E11:E13)</f>
        <v>524037.3</v>
      </c>
      <c r="F14" s="88"/>
      <c r="G14" s="115">
        <f>SUM(G11:G13)</f>
        <v>549618.62</v>
      </c>
      <c r="H14" s="12">
        <f t="shared" ref="H14:J14" si="3">SUM(H11:H13)</f>
        <v>460131.66</v>
      </c>
      <c r="I14" s="12">
        <f t="shared" si="3"/>
        <v>48571.278333333328</v>
      </c>
      <c r="J14" s="12">
        <f t="shared" si="3"/>
        <v>0</v>
      </c>
      <c r="K14" s="12">
        <f>SUM(K11:K13)</f>
        <v>0</v>
      </c>
      <c r="L14" s="12">
        <f>SUM(L11:L13)</f>
        <v>552936.78999999992</v>
      </c>
    </row>
    <row r="15" spans="1:12" x14ac:dyDescent="0.3">
      <c r="A15" s="1" t="s">
        <v>2</v>
      </c>
      <c r="B15" s="40" t="s">
        <v>3</v>
      </c>
      <c r="C15" s="103">
        <v>1340950</v>
      </c>
      <c r="D15" s="1"/>
      <c r="E15" s="14">
        <v>901081.07</v>
      </c>
      <c r="F15" s="89"/>
      <c r="G15" s="119">
        <f>G56</f>
        <v>1514050</v>
      </c>
      <c r="H15" s="14" t="e">
        <f t="shared" ref="H15:J15" si="4">H56</f>
        <v>#REF!</v>
      </c>
      <c r="I15" s="14">
        <f t="shared" si="4"/>
        <v>126066.66666666666</v>
      </c>
      <c r="J15" s="14">
        <f t="shared" si="4"/>
        <v>0</v>
      </c>
      <c r="K15" s="14">
        <f t="shared" ref="K15" si="5">K56</f>
        <v>0</v>
      </c>
      <c r="L15" s="14">
        <f>L56</f>
        <v>1430099.8199999998</v>
      </c>
    </row>
    <row r="16" spans="1:12" ht="19.5" thickBot="1" x14ac:dyDescent="0.35">
      <c r="A16" s="1"/>
      <c r="B16" s="40" t="s">
        <v>41</v>
      </c>
      <c r="C16" s="104">
        <v>471550</v>
      </c>
      <c r="D16" s="1"/>
      <c r="E16" s="13">
        <v>260490.51000000007</v>
      </c>
      <c r="F16" s="90"/>
      <c r="G16" s="120">
        <f>G86</f>
        <v>467650</v>
      </c>
      <c r="H16" s="13" t="e">
        <f t="shared" ref="H16:J16" si="6">H86</f>
        <v>#REF!</v>
      </c>
      <c r="I16" s="13">
        <f t="shared" si="6"/>
        <v>38970.833333333328</v>
      </c>
      <c r="J16" s="13">
        <f t="shared" si="6"/>
        <v>0</v>
      </c>
      <c r="K16" s="13">
        <f t="shared" ref="K16" si="7">K86</f>
        <v>0</v>
      </c>
      <c r="L16" s="13">
        <f>L86</f>
        <v>427343.99000000011</v>
      </c>
    </row>
    <row r="17" spans="1:13" ht="20.25" thickTop="1" thickBot="1" x14ac:dyDescent="0.35">
      <c r="A17" s="1"/>
      <c r="B17" s="41" t="s">
        <v>36</v>
      </c>
      <c r="C17" s="100">
        <f>SUM(C15:C16)</f>
        <v>1812500</v>
      </c>
      <c r="D17" s="15"/>
      <c r="E17" s="12">
        <v>1161571.58</v>
      </c>
      <c r="F17" s="88"/>
      <c r="G17" s="115">
        <f>SUM(G15:G16)</f>
        <v>1981700</v>
      </c>
      <c r="H17" s="12" t="e">
        <f t="shared" ref="H17:J17" si="8">SUM(H15:H16)</f>
        <v>#REF!</v>
      </c>
      <c r="I17" s="12">
        <f t="shared" si="8"/>
        <v>165037.5</v>
      </c>
      <c r="J17" s="12">
        <f t="shared" si="8"/>
        <v>0</v>
      </c>
      <c r="K17" s="12">
        <f t="shared" ref="K17" si="9">SUM(K15:K16)</f>
        <v>0</v>
      </c>
      <c r="L17" s="12">
        <f>SUM(L15:L16)</f>
        <v>1857443.81</v>
      </c>
    </row>
    <row r="18" spans="1:13" x14ac:dyDescent="0.3">
      <c r="A18" s="33"/>
      <c r="B18" s="44"/>
      <c r="C18" s="44"/>
      <c r="D18" s="33"/>
      <c r="E18" s="33"/>
      <c r="F18" s="91"/>
      <c r="G18" s="34"/>
      <c r="H18" s="63"/>
      <c r="I18" s="63"/>
      <c r="J18" s="63"/>
      <c r="K18" s="63"/>
      <c r="L18" s="63"/>
    </row>
    <row r="19" spans="1:13" x14ac:dyDescent="0.3">
      <c r="A19" s="33" t="s">
        <v>44</v>
      </c>
      <c r="B19" s="45" t="s">
        <v>3</v>
      </c>
      <c r="C19" s="45">
        <f>C9-C56</f>
        <v>93550</v>
      </c>
      <c r="D19" s="45">
        <f t="shared" ref="D19:E19" si="10">D9-D56</f>
        <v>0</v>
      </c>
      <c r="E19" s="45">
        <f t="shared" si="10"/>
        <v>-175605.26999999979</v>
      </c>
      <c r="F19" s="91"/>
      <c r="G19" s="35">
        <f>G9-G15</f>
        <v>28950</v>
      </c>
      <c r="H19" s="35" t="e">
        <f t="shared" ref="H19:J19" si="11">H9-H15</f>
        <v>#REF!</v>
      </c>
      <c r="I19" s="35">
        <f t="shared" si="11"/>
        <v>2516.6666666666861</v>
      </c>
      <c r="J19" s="35">
        <f t="shared" si="11"/>
        <v>0</v>
      </c>
      <c r="K19" s="35">
        <f>K9-K15</f>
        <v>0</v>
      </c>
      <c r="L19" s="35">
        <f>L9-L15</f>
        <v>39901.640000000363</v>
      </c>
    </row>
    <row r="20" spans="1:13" ht="19.5" thickBot="1" x14ac:dyDescent="0.35">
      <c r="A20" s="33"/>
      <c r="B20" s="46" t="s">
        <v>4</v>
      </c>
      <c r="C20" s="46">
        <f>C14-C86</f>
        <v>77438</v>
      </c>
      <c r="D20" s="46">
        <f t="shared" ref="D20:E20" si="12">D14-D86</f>
        <v>-320175</v>
      </c>
      <c r="E20" s="46">
        <f t="shared" si="12"/>
        <v>221201</v>
      </c>
      <c r="F20" s="92"/>
      <c r="G20" s="36">
        <f>G14-G16</f>
        <v>81968.62</v>
      </c>
      <c r="H20" s="36" t="e">
        <f t="shared" ref="H20:J20" si="13">H14-H16</f>
        <v>#REF!</v>
      </c>
      <c r="I20" s="36">
        <f t="shared" si="13"/>
        <v>9600.4449999999997</v>
      </c>
      <c r="J20" s="36">
        <f t="shared" si="13"/>
        <v>0</v>
      </c>
      <c r="K20" s="36">
        <f t="shared" ref="K20" si="14">K14-K16</f>
        <v>0</v>
      </c>
      <c r="L20" s="36">
        <f>L14-L16</f>
        <v>125592.79999999981</v>
      </c>
    </row>
    <row r="21" spans="1:13" ht="9.6" customHeight="1" x14ac:dyDescent="0.3">
      <c r="A21" s="1"/>
      <c r="B21" s="40"/>
      <c r="C21" s="40"/>
      <c r="D21" s="1"/>
      <c r="E21" s="1"/>
      <c r="F21" s="91"/>
      <c r="G21" s="9"/>
      <c r="H21" s="16"/>
      <c r="I21" s="16"/>
      <c r="J21" s="16"/>
      <c r="L21" s="16"/>
    </row>
    <row r="22" spans="1:13" ht="16.899999999999999" customHeight="1" x14ac:dyDescent="0.3">
      <c r="A22" s="70" t="s">
        <v>32</v>
      </c>
      <c r="B22" s="47" t="s">
        <v>5</v>
      </c>
      <c r="C22" s="47"/>
      <c r="D22" s="1"/>
      <c r="E22" s="1"/>
      <c r="F22" s="91"/>
      <c r="G22" s="9"/>
      <c r="H22" s="16"/>
      <c r="I22" s="16"/>
      <c r="J22" s="16"/>
      <c r="L22" s="16"/>
    </row>
    <row r="23" spans="1:13" ht="24" customHeight="1" x14ac:dyDescent="0.3">
      <c r="A23" s="1"/>
      <c r="B23" s="48" t="s">
        <v>59</v>
      </c>
      <c r="C23" s="105">
        <v>160000</v>
      </c>
      <c r="D23" s="1"/>
      <c r="E23" s="16">
        <v>136105.09</v>
      </c>
      <c r="F23" s="86"/>
      <c r="G23" s="121">
        <v>168000</v>
      </c>
      <c r="H23" s="16">
        <f>58336.57+4481.73+952.6+6906.35+6530.2+3458.26</f>
        <v>80665.709999999992</v>
      </c>
      <c r="I23" s="16">
        <f t="shared" si="0"/>
        <v>14000</v>
      </c>
      <c r="J23" s="16"/>
      <c r="K23" s="3" t="s">
        <v>71</v>
      </c>
      <c r="L23" s="16">
        <f>111639.07+9151.73+1727.74+14349.41+12298.44+7166.38</f>
        <v>156332.77000000002</v>
      </c>
      <c r="M23" s="3">
        <v>157000</v>
      </c>
    </row>
    <row r="24" spans="1:13" x14ac:dyDescent="0.3">
      <c r="A24" s="1"/>
      <c r="B24" s="48" t="s">
        <v>35</v>
      </c>
      <c r="C24" s="105">
        <v>1500</v>
      </c>
      <c r="D24" s="1"/>
      <c r="E24" s="16">
        <v>0</v>
      </c>
      <c r="F24" s="86"/>
      <c r="G24" s="113">
        <v>1500</v>
      </c>
      <c r="H24" s="16">
        <v>0</v>
      </c>
      <c r="I24" s="16">
        <f t="shared" si="0"/>
        <v>125</v>
      </c>
      <c r="J24" s="16"/>
      <c r="K24" s="3" t="s">
        <v>74</v>
      </c>
      <c r="L24" s="16">
        <v>0</v>
      </c>
    </row>
    <row r="25" spans="1:13" x14ac:dyDescent="0.3">
      <c r="A25" s="1"/>
      <c r="B25" s="48" t="s">
        <v>6</v>
      </c>
      <c r="C25" s="105">
        <v>5000</v>
      </c>
      <c r="D25" s="1"/>
      <c r="E25" s="16">
        <v>3181.19</v>
      </c>
      <c r="F25" s="86"/>
      <c r="G25" s="113">
        <v>5000</v>
      </c>
      <c r="H25" s="16">
        <v>1967.61</v>
      </c>
      <c r="I25" s="16">
        <f t="shared" si="0"/>
        <v>416.66666666666669</v>
      </c>
      <c r="J25" s="16"/>
      <c r="K25" s="3" t="s">
        <v>75</v>
      </c>
      <c r="L25" s="16">
        <v>3893.58</v>
      </c>
      <c r="M25" s="3">
        <v>3900</v>
      </c>
    </row>
    <row r="26" spans="1:13" ht="19.149999999999999" customHeight="1" x14ac:dyDescent="0.3">
      <c r="A26" s="1"/>
      <c r="B26" s="48" t="s">
        <v>29</v>
      </c>
      <c r="C26" s="105">
        <v>26000</v>
      </c>
      <c r="D26" s="1"/>
      <c r="E26" s="16">
        <v>24212.83</v>
      </c>
      <c r="F26" s="86"/>
      <c r="G26" s="113">
        <v>28500</v>
      </c>
      <c r="H26" s="16">
        <v>14713.82</v>
      </c>
      <c r="I26" s="16">
        <f t="shared" si="0"/>
        <v>2375</v>
      </c>
      <c r="J26" s="16"/>
      <c r="K26" s="3" t="s">
        <v>76</v>
      </c>
      <c r="L26" s="16">
        <v>23240.87</v>
      </c>
      <c r="M26" s="3">
        <v>26000</v>
      </c>
    </row>
    <row r="27" spans="1:13" s="25" customFormat="1" x14ac:dyDescent="0.3">
      <c r="A27" s="24"/>
      <c r="B27" s="48" t="s">
        <v>42</v>
      </c>
      <c r="C27" s="105">
        <v>160000</v>
      </c>
      <c r="D27" s="24"/>
      <c r="E27" s="16">
        <v>179267.37</v>
      </c>
      <c r="F27" s="86"/>
      <c r="G27" s="113">
        <v>185000</v>
      </c>
      <c r="H27" s="16">
        <v>116759.1</v>
      </c>
      <c r="I27" s="16">
        <f t="shared" si="0"/>
        <v>15416.666666666666</v>
      </c>
      <c r="J27" s="16"/>
      <c r="K27" s="25" t="s">
        <v>86</v>
      </c>
      <c r="L27" s="16">
        <v>155298.1</v>
      </c>
      <c r="M27" s="25">
        <v>183000</v>
      </c>
    </row>
    <row r="28" spans="1:13" x14ac:dyDescent="0.3">
      <c r="A28" s="1"/>
      <c r="B28" s="48" t="s">
        <v>7</v>
      </c>
      <c r="C28" s="105">
        <v>15000</v>
      </c>
      <c r="D28" s="1"/>
      <c r="E28" s="16">
        <v>1407.8</v>
      </c>
      <c r="F28" s="86"/>
      <c r="G28" s="113">
        <v>5000</v>
      </c>
      <c r="H28" s="16">
        <v>12341.13</v>
      </c>
      <c r="I28" s="16">
        <f t="shared" si="0"/>
        <v>416.66666666666669</v>
      </c>
      <c r="J28" s="16"/>
      <c r="K28" s="3" t="s">
        <v>105</v>
      </c>
      <c r="L28" s="16">
        <v>15173.62</v>
      </c>
      <c r="M28" s="3">
        <v>10000</v>
      </c>
    </row>
    <row r="29" spans="1:13" ht="30.6" customHeight="1" x14ac:dyDescent="0.3">
      <c r="A29" s="1"/>
      <c r="B29" s="48" t="s">
        <v>8</v>
      </c>
      <c r="C29" s="105">
        <v>1000</v>
      </c>
      <c r="D29" s="1"/>
      <c r="E29" s="16">
        <f>3138.87+22.64</f>
        <v>3161.5099999999998</v>
      </c>
      <c r="F29" s="86"/>
      <c r="G29" s="113">
        <v>1000</v>
      </c>
      <c r="H29" s="16">
        <v>441.57</v>
      </c>
      <c r="I29" s="16">
        <f t="shared" si="0"/>
        <v>83.333333333333329</v>
      </c>
      <c r="J29" s="16"/>
      <c r="K29" s="3" t="s">
        <v>74</v>
      </c>
      <c r="L29" s="16">
        <v>1104.53</v>
      </c>
      <c r="M29" s="3">
        <v>3000</v>
      </c>
    </row>
    <row r="30" spans="1:13" x14ac:dyDescent="0.3">
      <c r="A30" s="1"/>
      <c r="B30" s="48" t="s">
        <v>9</v>
      </c>
      <c r="C30" s="105">
        <v>2000</v>
      </c>
      <c r="D30" s="1"/>
      <c r="E30" s="16">
        <v>2568.96</v>
      </c>
      <c r="F30" s="86"/>
      <c r="G30" s="113">
        <v>2000</v>
      </c>
      <c r="H30" s="16">
        <v>1210.8</v>
      </c>
      <c r="I30" s="16">
        <f t="shared" si="0"/>
        <v>166.66666666666666</v>
      </c>
      <c r="J30" s="16"/>
      <c r="K30" s="3" t="s">
        <v>75</v>
      </c>
      <c r="L30" s="16">
        <v>2170.9</v>
      </c>
      <c r="M30" s="3">
        <v>2000</v>
      </c>
    </row>
    <row r="31" spans="1:13" ht="28.9" customHeight="1" x14ac:dyDescent="0.3">
      <c r="A31" s="1"/>
      <c r="B31" s="48" t="s">
        <v>10</v>
      </c>
      <c r="C31" s="105">
        <v>60000</v>
      </c>
      <c r="D31" s="24"/>
      <c r="E31" s="16">
        <v>5631.38</v>
      </c>
      <c r="F31" s="86"/>
      <c r="G31" s="113">
        <v>45000</v>
      </c>
      <c r="H31" s="95">
        <v>34361.08</v>
      </c>
      <c r="I31" s="95">
        <f t="shared" si="0"/>
        <v>3750</v>
      </c>
      <c r="J31" s="95"/>
      <c r="K31" s="25" t="s">
        <v>104</v>
      </c>
      <c r="L31" s="16">
        <v>48603.79</v>
      </c>
      <c r="M31" s="3">
        <v>25000</v>
      </c>
    </row>
    <row r="32" spans="1:13" x14ac:dyDescent="0.3">
      <c r="A32" s="1"/>
      <c r="B32" s="48" t="s">
        <v>11</v>
      </c>
      <c r="C32" s="105">
        <v>2000</v>
      </c>
      <c r="D32" s="1"/>
      <c r="E32" s="16"/>
      <c r="F32" s="86"/>
      <c r="G32" s="113">
        <v>1000</v>
      </c>
      <c r="H32" s="16">
        <v>232.42</v>
      </c>
      <c r="I32" s="16">
        <f t="shared" si="0"/>
        <v>83.333333333333329</v>
      </c>
      <c r="J32" s="16"/>
      <c r="K32" s="3" t="s">
        <v>74</v>
      </c>
      <c r="L32" s="16">
        <v>232.42</v>
      </c>
    </row>
    <row r="33" spans="1:13" x14ac:dyDescent="0.3">
      <c r="A33" s="1"/>
      <c r="B33" s="48" t="s">
        <v>57</v>
      </c>
      <c r="C33" s="105">
        <v>10000</v>
      </c>
      <c r="D33" s="1"/>
      <c r="E33" s="16">
        <v>261.98</v>
      </c>
      <c r="F33" s="86"/>
      <c r="G33" s="113">
        <v>5000</v>
      </c>
      <c r="H33" s="16">
        <v>85.73</v>
      </c>
      <c r="I33" s="16">
        <f t="shared" si="0"/>
        <v>416.66666666666669</v>
      </c>
      <c r="J33" s="16"/>
      <c r="K33" s="3" t="s">
        <v>87</v>
      </c>
      <c r="L33" s="16">
        <v>291.62</v>
      </c>
    </row>
    <row r="34" spans="1:13" x14ac:dyDescent="0.3">
      <c r="A34" s="1"/>
      <c r="B34" s="48" t="s">
        <v>12</v>
      </c>
      <c r="C34" s="105">
        <v>30000</v>
      </c>
      <c r="D34" s="1"/>
      <c r="E34" s="16">
        <v>39584.129999999997</v>
      </c>
      <c r="F34" s="86"/>
      <c r="G34" s="113">
        <v>40000</v>
      </c>
      <c r="H34" s="16">
        <v>22234.81</v>
      </c>
      <c r="I34" s="16">
        <f t="shared" si="0"/>
        <v>3333.3333333333335</v>
      </c>
      <c r="J34" s="16"/>
      <c r="K34" s="3" t="s">
        <v>67</v>
      </c>
      <c r="L34" s="16">
        <v>41336.660000000003</v>
      </c>
      <c r="M34" s="3">
        <v>40000</v>
      </c>
    </row>
    <row r="35" spans="1:13" x14ac:dyDescent="0.3">
      <c r="A35" s="1"/>
      <c r="B35" s="49" t="s">
        <v>13</v>
      </c>
      <c r="C35" s="106">
        <v>1500</v>
      </c>
      <c r="D35" s="1"/>
      <c r="E35" s="16">
        <v>2067.52</v>
      </c>
      <c r="F35" s="86"/>
      <c r="G35" s="113">
        <v>2500</v>
      </c>
      <c r="H35" s="16">
        <v>1165.8399999999999</v>
      </c>
      <c r="I35" s="16">
        <f t="shared" si="0"/>
        <v>208.33333333333334</v>
      </c>
      <c r="J35" s="16"/>
      <c r="K35" s="3" t="s">
        <v>74</v>
      </c>
      <c r="L35" s="16">
        <v>1797.67</v>
      </c>
      <c r="M35" s="3">
        <v>2000</v>
      </c>
    </row>
    <row r="36" spans="1:13" x14ac:dyDescent="0.3">
      <c r="A36" s="1"/>
      <c r="B36" s="48" t="s">
        <v>14</v>
      </c>
      <c r="C36" s="105">
        <v>7500</v>
      </c>
      <c r="D36" s="1"/>
      <c r="E36" s="16">
        <f>2553.93+1961.21</f>
        <v>4515.1399999999994</v>
      </c>
      <c r="F36" s="86"/>
      <c r="G36" s="113">
        <v>7500</v>
      </c>
      <c r="H36" s="16">
        <f>2437.37+1391.39</f>
        <v>3828.76</v>
      </c>
      <c r="I36" s="16">
        <f t="shared" si="0"/>
        <v>625</v>
      </c>
      <c r="J36" s="16"/>
      <c r="K36" s="3" t="s">
        <v>65</v>
      </c>
      <c r="L36" s="16">
        <f>3595.05+2235.45</f>
        <v>5830.5</v>
      </c>
      <c r="M36" s="3">
        <v>6000</v>
      </c>
    </row>
    <row r="37" spans="1:13" x14ac:dyDescent="0.3">
      <c r="A37" s="1"/>
      <c r="B37" s="48" t="s">
        <v>15</v>
      </c>
      <c r="C37" s="105">
        <v>9000</v>
      </c>
      <c r="D37" s="1"/>
      <c r="E37" s="16">
        <v>7225.79</v>
      </c>
      <c r="F37" s="86"/>
      <c r="G37" s="113">
        <v>10000</v>
      </c>
      <c r="H37" s="16">
        <v>7237.5</v>
      </c>
      <c r="I37" s="16">
        <f t="shared" si="0"/>
        <v>833.33333333333337</v>
      </c>
      <c r="J37" s="16"/>
      <c r="K37" s="3" t="s">
        <v>88</v>
      </c>
      <c r="L37" s="16">
        <v>20667.75</v>
      </c>
      <c r="M37" s="3">
        <v>15000</v>
      </c>
    </row>
    <row r="38" spans="1:13" x14ac:dyDescent="0.3">
      <c r="A38" s="1"/>
      <c r="B38" s="48" t="s">
        <v>16</v>
      </c>
      <c r="C38" s="105">
        <v>1800</v>
      </c>
      <c r="D38" s="1"/>
      <c r="E38" s="16">
        <v>2058.14</v>
      </c>
      <c r="F38" s="86"/>
      <c r="G38" s="113">
        <v>2000</v>
      </c>
      <c r="H38" s="16">
        <v>1347.47</v>
      </c>
      <c r="I38" s="16">
        <f t="shared" si="0"/>
        <v>166.66666666666666</v>
      </c>
      <c r="J38" s="16"/>
      <c r="K38" s="3" t="s">
        <v>83</v>
      </c>
      <c r="L38" s="16">
        <v>2955.19</v>
      </c>
      <c r="M38" s="3">
        <v>2000</v>
      </c>
    </row>
    <row r="39" spans="1:13" x14ac:dyDescent="0.3">
      <c r="A39" s="1"/>
      <c r="B39" s="48" t="s">
        <v>17</v>
      </c>
      <c r="C39" s="105">
        <v>15000</v>
      </c>
      <c r="D39" s="1"/>
      <c r="E39" s="16">
        <v>9211.98</v>
      </c>
      <c r="F39" s="86"/>
      <c r="G39" s="113">
        <v>15000</v>
      </c>
      <c r="H39" s="16">
        <v>2607.87</v>
      </c>
      <c r="I39" s="16">
        <f t="shared" si="0"/>
        <v>1250</v>
      </c>
      <c r="J39" s="16"/>
      <c r="K39" s="3" t="s">
        <v>78</v>
      </c>
      <c r="L39" s="16">
        <v>12992.87</v>
      </c>
      <c r="M39" s="3">
        <v>15000</v>
      </c>
    </row>
    <row r="40" spans="1:13" ht="35.25" customHeight="1" x14ac:dyDescent="0.3">
      <c r="A40" s="1"/>
      <c r="B40" s="48" t="s">
        <v>18</v>
      </c>
      <c r="C40" s="105">
        <v>1000</v>
      </c>
      <c r="D40" s="1"/>
      <c r="E40" s="16">
        <v>398.75</v>
      </c>
      <c r="F40" s="86"/>
      <c r="G40" s="113">
        <v>1000</v>
      </c>
      <c r="H40" s="16">
        <v>0</v>
      </c>
      <c r="I40" s="16">
        <f t="shared" si="0"/>
        <v>83.333333333333329</v>
      </c>
      <c r="J40" s="16"/>
      <c r="K40" s="66" t="s">
        <v>74</v>
      </c>
      <c r="L40" s="16">
        <v>2025.33</v>
      </c>
      <c r="M40" s="3">
        <v>1000</v>
      </c>
    </row>
    <row r="41" spans="1:13" x14ac:dyDescent="0.3">
      <c r="A41" s="1"/>
      <c r="B41" s="49" t="s">
        <v>20</v>
      </c>
      <c r="C41" s="106">
        <v>40000</v>
      </c>
      <c r="D41" s="24"/>
      <c r="E41" s="16">
        <v>5291.2</v>
      </c>
      <c r="F41" s="86"/>
      <c r="G41" s="113">
        <v>15000</v>
      </c>
      <c r="H41" s="16">
        <v>769.82</v>
      </c>
      <c r="I41" s="16">
        <f t="shared" si="0"/>
        <v>1250</v>
      </c>
      <c r="J41" s="16"/>
      <c r="K41" s="25" t="s">
        <v>106</v>
      </c>
      <c r="L41" s="16">
        <v>25700.69</v>
      </c>
      <c r="M41" s="3">
        <v>26000</v>
      </c>
    </row>
    <row r="42" spans="1:13" x14ac:dyDescent="0.3">
      <c r="A42" s="1"/>
      <c r="B42" s="49" t="s">
        <v>62</v>
      </c>
      <c r="C42" s="106">
        <v>70000</v>
      </c>
      <c r="D42" s="24"/>
      <c r="E42" s="16"/>
      <c r="F42" s="86"/>
      <c r="G42" s="113">
        <v>30000</v>
      </c>
      <c r="H42" s="16">
        <v>0</v>
      </c>
      <c r="I42" s="16">
        <f t="shared" si="0"/>
        <v>2500</v>
      </c>
      <c r="J42" s="16"/>
      <c r="K42" s="25" t="s">
        <v>107</v>
      </c>
      <c r="L42" s="16">
        <v>0</v>
      </c>
    </row>
    <row r="43" spans="1:13" x14ac:dyDescent="0.3">
      <c r="A43" s="1"/>
      <c r="B43" s="49" t="s">
        <v>21</v>
      </c>
      <c r="C43" s="106">
        <v>1000</v>
      </c>
      <c r="D43" s="1"/>
      <c r="E43" s="16"/>
      <c r="F43" s="86"/>
      <c r="G43" s="113">
        <v>1000</v>
      </c>
      <c r="H43" s="16">
        <v>0</v>
      </c>
      <c r="I43" s="16">
        <f t="shared" si="0"/>
        <v>83.333333333333329</v>
      </c>
      <c r="J43" s="16"/>
      <c r="K43" s="3" t="s">
        <v>74</v>
      </c>
      <c r="L43" s="16">
        <v>0</v>
      </c>
    </row>
    <row r="44" spans="1:13" ht="19.899999999999999" customHeight="1" x14ac:dyDescent="0.3">
      <c r="A44" s="1"/>
      <c r="B44" s="49" t="s">
        <v>22</v>
      </c>
      <c r="C44" s="106">
        <v>250</v>
      </c>
      <c r="D44" s="1"/>
      <c r="E44" s="16"/>
      <c r="F44" s="86"/>
      <c r="G44" s="113">
        <v>250</v>
      </c>
      <c r="H44" s="16">
        <v>0</v>
      </c>
      <c r="I44" s="16">
        <f t="shared" si="0"/>
        <v>20.833333333333332</v>
      </c>
      <c r="J44" s="16"/>
      <c r="K44" s="3" t="s">
        <v>74</v>
      </c>
      <c r="L44" s="16">
        <v>0</v>
      </c>
    </row>
    <row r="45" spans="1:13" x14ac:dyDescent="0.3">
      <c r="A45" s="1"/>
      <c r="B45" s="49" t="s">
        <v>23</v>
      </c>
      <c r="C45" s="106">
        <v>5000</v>
      </c>
      <c r="D45" s="1"/>
      <c r="E45" s="16">
        <v>336.91</v>
      </c>
      <c r="F45" s="86"/>
      <c r="G45" s="113">
        <v>5000</v>
      </c>
      <c r="H45" s="16">
        <v>2241.8000000000002</v>
      </c>
      <c r="I45" s="16">
        <f t="shared" si="0"/>
        <v>416.66666666666669</v>
      </c>
      <c r="J45" s="16"/>
      <c r="K45" s="3" t="s">
        <v>80</v>
      </c>
      <c r="L45" s="16">
        <v>6489.4</v>
      </c>
      <c r="M45" s="3">
        <v>5000</v>
      </c>
    </row>
    <row r="46" spans="1:13" x14ac:dyDescent="0.3">
      <c r="A46" s="1"/>
      <c r="B46" s="48" t="s">
        <v>24</v>
      </c>
      <c r="C46" s="105">
        <v>2000</v>
      </c>
      <c r="D46" s="1"/>
      <c r="E46" s="16">
        <v>3047.2</v>
      </c>
      <c r="F46" s="86"/>
      <c r="G46" s="113">
        <v>2000</v>
      </c>
      <c r="H46" s="16">
        <v>2383.08</v>
      </c>
      <c r="I46" s="16">
        <f t="shared" si="0"/>
        <v>166.66666666666666</v>
      </c>
      <c r="J46" s="16"/>
      <c r="K46" s="3" t="s">
        <v>74</v>
      </c>
      <c r="L46" s="16">
        <v>7445.49</v>
      </c>
      <c r="M46" s="3">
        <v>4000</v>
      </c>
    </row>
    <row r="47" spans="1:13" x14ac:dyDescent="0.3">
      <c r="A47" s="1"/>
      <c r="B47" s="48" t="s">
        <v>25</v>
      </c>
      <c r="C47" s="105">
        <v>15000</v>
      </c>
      <c r="D47" s="1"/>
      <c r="E47" s="16">
        <v>43280.800000000003</v>
      </c>
      <c r="F47" s="86"/>
      <c r="G47" s="113">
        <v>45000</v>
      </c>
      <c r="H47" s="16">
        <v>13139.25</v>
      </c>
      <c r="I47" s="16">
        <f t="shared" si="0"/>
        <v>3750</v>
      </c>
      <c r="J47" s="16"/>
      <c r="K47" s="3" t="s">
        <v>89</v>
      </c>
      <c r="L47" s="16">
        <v>18661.189999999999</v>
      </c>
      <c r="M47" s="3">
        <v>45000</v>
      </c>
    </row>
    <row r="48" spans="1:13" x14ac:dyDescent="0.3">
      <c r="A48" s="1"/>
      <c r="B48" s="48" t="s">
        <v>26</v>
      </c>
      <c r="C48" s="105">
        <v>3500</v>
      </c>
      <c r="D48" s="1"/>
      <c r="E48" s="16">
        <v>4564.6400000000003</v>
      </c>
      <c r="F48" s="86"/>
      <c r="G48" s="113">
        <v>5000</v>
      </c>
      <c r="H48" s="16">
        <v>2170.63</v>
      </c>
      <c r="I48" s="16">
        <f t="shared" si="0"/>
        <v>416.66666666666669</v>
      </c>
      <c r="J48" s="16"/>
      <c r="K48" s="3" t="s">
        <v>90</v>
      </c>
      <c r="L48" s="16">
        <v>4686.08</v>
      </c>
      <c r="M48" s="3">
        <v>4000</v>
      </c>
    </row>
    <row r="49" spans="1:13" s="25" customFormat="1" x14ac:dyDescent="0.3">
      <c r="A49" s="24"/>
      <c r="B49" s="48" t="s">
        <v>27</v>
      </c>
      <c r="C49" s="105">
        <v>500000</v>
      </c>
      <c r="D49" s="24"/>
      <c r="E49" s="16">
        <v>598260.63</v>
      </c>
      <c r="F49" s="86"/>
      <c r="G49" s="113">
        <v>650000</v>
      </c>
      <c r="H49" s="16">
        <v>381566.51</v>
      </c>
      <c r="I49" s="16">
        <f t="shared" si="0"/>
        <v>54166.666666666664</v>
      </c>
      <c r="J49" s="16"/>
      <c r="K49" s="25" t="s">
        <v>97</v>
      </c>
      <c r="L49" s="16">
        <v>682187.78</v>
      </c>
      <c r="M49" s="25">
        <v>600000</v>
      </c>
    </row>
    <row r="50" spans="1:13" s="25" customFormat="1" x14ac:dyDescent="0.3">
      <c r="A50" s="24"/>
      <c r="B50" s="48" t="s">
        <v>68</v>
      </c>
      <c r="C50" s="105">
        <v>2000</v>
      </c>
      <c r="D50" s="24"/>
      <c r="E50" s="16">
        <v>1599.74</v>
      </c>
      <c r="F50" s="86"/>
      <c r="G50" s="113">
        <v>1250</v>
      </c>
      <c r="H50" s="16">
        <v>663.17</v>
      </c>
      <c r="I50" s="16"/>
      <c r="J50" s="16"/>
      <c r="L50" s="16">
        <v>1280.06</v>
      </c>
      <c r="M50" s="25">
        <v>2000</v>
      </c>
    </row>
    <row r="51" spans="1:13" s="25" customFormat="1" x14ac:dyDescent="0.3">
      <c r="A51" s="24"/>
      <c r="B51" s="50" t="s">
        <v>73</v>
      </c>
      <c r="C51" s="107">
        <v>12500</v>
      </c>
      <c r="D51" s="18"/>
      <c r="E51" s="57">
        <v>11683.63</v>
      </c>
      <c r="F51" s="93"/>
      <c r="G51" s="122">
        <v>13150</v>
      </c>
      <c r="H51" s="16">
        <v>4131.0200000000004</v>
      </c>
      <c r="I51" s="16">
        <f t="shared" si="0"/>
        <v>1095.8333333333333</v>
      </c>
      <c r="J51" s="57"/>
      <c r="L51" s="16">
        <v>8300.9599999999991</v>
      </c>
      <c r="M51" s="25">
        <v>12500</v>
      </c>
    </row>
    <row r="52" spans="1:13" s="25" customFormat="1" x14ac:dyDescent="0.3">
      <c r="A52" s="24"/>
      <c r="B52" s="50" t="s">
        <v>81</v>
      </c>
      <c r="C52" s="107"/>
      <c r="D52" s="18"/>
      <c r="E52" s="57">
        <v>45836.15</v>
      </c>
      <c r="F52" s="93"/>
      <c r="G52" s="122">
        <v>40000</v>
      </c>
      <c r="H52" s="16"/>
      <c r="I52" s="16">
        <f t="shared" si="0"/>
        <v>3333.3333333333335</v>
      </c>
      <c r="J52" s="57"/>
      <c r="L52" s="16"/>
      <c r="M52" s="25">
        <v>45836</v>
      </c>
    </row>
    <row r="53" spans="1:13" s="25" customFormat="1" x14ac:dyDescent="0.3">
      <c r="A53" s="24"/>
      <c r="B53" s="50" t="s">
        <v>100</v>
      </c>
      <c r="C53" s="107"/>
      <c r="D53" s="18"/>
      <c r="E53" s="57">
        <v>29564.95</v>
      </c>
      <c r="F53" s="93"/>
      <c r="G53" s="122"/>
      <c r="H53" s="16"/>
      <c r="I53" s="16"/>
      <c r="J53" s="57"/>
      <c r="L53" s="16"/>
    </row>
    <row r="54" spans="1:13" x14ac:dyDescent="0.3">
      <c r="A54" s="1"/>
      <c r="B54" s="50" t="s">
        <v>91</v>
      </c>
      <c r="C54" s="107">
        <v>131400</v>
      </c>
      <c r="D54" s="1"/>
      <c r="E54" s="57"/>
      <c r="F54" s="93"/>
      <c r="G54" s="122">
        <v>131400</v>
      </c>
      <c r="H54" s="16" t="e">
        <f>G54-#REF!</f>
        <v>#REF!</v>
      </c>
      <c r="I54" s="16">
        <f t="shared" si="0"/>
        <v>10950</v>
      </c>
      <c r="J54" s="16"/>
      <c r="L54" s="16">
        <v>131400</v>
      </c>
    </row>
    <row r="55" spans="1:13" ht="19.5" thickBot="1" x14ac:dyDescent="0.35">
      <c r="A55" s="1"/>
      <c r="B55" s="62" t="s">
        <v>60</v>
      </c>
      <c r="C55" s="108">
        <v>50000</v>
      </c>
      <c r="D55" s="17"/>
      <c r="E55" s="16"/>
      <c r="F55" s="86"/>
      <c r="G55" s="122">
        <v>50000</v>
      </c>
      <c r="H55" s="16" t="e">
        <f>G55-#REF!</f>
        <v>#REF!</v>
      </c>
      <c r="I55" s="16">
        <f t="shared" si="0"/>
        <v>4166.666666666667</v>
      </c>
      <c r="J55" s="16"/>
      <c r="L55" s="16">
        <v>50000</v>
      </c>
    </row>
    <row r="56" spans="1:13" ht="19.5" thickBot="1" x14ac:dyDescent="0.35">
      <c r="A56" s="1"/>
      <c r="B56" s="60" t="s">
        <v>28</v>
      </c>
      <c r="C56" s="109">
        <f>SUM(C23:C55)</f>
        <v>1340950</v>
      </c>
      <c r="D56" s="60">
        <f t="shared" ref="D56:G56" si="15">SUM(D23:D55)</f>
        <v>0</v>
      </c>
      <c r="E56" s="60">
        <f t="shared" si="15"/>
        <v>1164325.4099999997</v>
      </c>
      <c r="F56" s="94">
        <f t="shared" si="15"/>
        <v>0</v>
      </c>
      <c r="G56" s="60">
        <f t="shared" si="15"/>
        <v>1514050</v>
      </c>
      <c r="H56" s="61" t="e">
        <f t="shared" ref="H56:M56" si="16">SUM(H23:H55)</f>
        <v>#REF!</v>
      </c>
      <c r="I56" s="61">
        <f t="shared" si="16"/>
        <v>126066.66666666666</v>
      </c>
      <c r="J56" s="61">
        <f t="shared" si="16"/>
        <v>0</v>
      </c>
      <c r="K56" s="61">
        <f t="shared" si="16"/>
        <v>0</v>
      </c>
      <c r="L56" s="61">
        <f t="shared" si="16"/>
        <v>1430099.8199999998</v>
      </c>
      <c r="M56" s="3">
        <f t="shared" si="16"/>
        <v>1235236</v>
      </c>
    </row>
    <row r="57" spans="1:13" ht="8.65" customHeight="1" x14ac:dyDescent="0.3">
      <c r="A57" s="1"/>
      <c r="B57" s="40"/>
      <c r="C57" s="40"/>
      <c r="D57" s="1"/>
      <c r="F57" s="83"/>
      <c r="G57" s="10"/>
      <c r="H57" s="16"/>
      <c r="I57" s="16"/>
      <c r="J57" s="16"/>
      <c r="L57" s="16"/>
    </row>
    <row r="58" spans="1:13" x14ac:dyDescent="0.3">
      <c r="A58" s="2" t="s">
        <v>30</v>
      </c>
      <c r="B58" s="48" t="s">
        <v>59</v>
      </c>
      <c r="C58" s="105">
        <v>160000</v>
      </c>
      <c r="D58" s="1"/>
      <c r="E58" s="16">
        <v>136105.18</v>
      </c>
      <c r="F58" s="86"/>
      <c r="G58" s="121">
        <v>168000</v>
      </c>
      <c r="H58" s="16">
        <f>58336.59+4481.74+952.62+6906.36+6530.21+3458.28</f>
        <v>80665.8</v>
      </c>
      <c r="I58" s="16">
        <f t="shared" si="0"/>
        <v>14000</v>
      </c>
      <c r="J58" s="16"/>
      <c r="K58" s="3" t="s">
        <v>72</v>
      </c>
      <c r="L58" s="16">
        <f>111639.1+9151.76+1727.76+14349.43+12298.47+7166.41</f>
        <v>156332.93</v>
      </c>
      <c r="M58" s="3">
        <v>150000</v>
      </c>
    </row>
    <row r="59" spans="1:13" x14ac:dyDescent="0.3">
      <c r="A59" s="1"/>
      <c r="B59" s="48" t="s">
        <v>6</v>
      </c>
      <c r="C59" s="105">
        <v>5000</v>
      </c>
      <c r="D59" s="18">
        <v>1000</v>
      </c>
      <c r="E59" s="16">
        <v>3181.21</v>
      </c>
      <c r="F59" s="86"/>
      <c r="G59" s="113">
        <v>5000</v>
      </c>
      <c r="H59" s="16">
        <v>1967.63</v>
      </c>
      <c r="I59" s="16">
        <f t="shared" si="0"/>
        <v>416.66666666666669</v>
      </c>
      <c r="J59" s="16"/>
      <c r="K59" s="3" t="s">
        <v>75</v>
      </c>
      <c r="L59" s="16">
        <v>3893.7</v>
      </c>
      <c r="M59" s="3">
        <v>3500</v>
      </c>
    </row>
    <row r="60" spans="1:13" x14ac:dyDescent="0.3">
      <c r="A60" s="1"/>
      <c r="B60" s="48" t="s">
        <v>55</v>
      </c>
      <c r="C60" s="105">
        <v>26000</v>
      </c>
      <c r="D60" s="18">
        <v>30000</v>
      </c>
      <c r="E60" s="16">
        <v>24212.83</v>
      </c>
      <c r="F60" s="86"/>
      <c r="G60" s="113">
        <v>28500</v>
      </c>
      <c r="H60" s="16">
        <v>15337.81</v>
      </c>
      <c r="I60" s="16">
        <f t="shared" si="0"/>
        <v>2375</v>
      </c>
      <c r="J60" s="16"/>
      <c r="K60" s="3" t="s">
        <v>76</v>
      </c>
      <c r="L60" s="16">
        <v>23864.85</v>
      </c>
      <c r="M60" s="3">
        <v>26000</v>
      </c>
    </row>
    <row r="61" spans="1:13" x14ac:dyDescent="0.3">
      <c r="A61" s="1"/>
      <c r="B61" s="48" t="s">
        <v>7</v>
      </c>
      <c r="C61" s="105">
        <v>15000</v>
      </c>
      <c r="D61" s="18">
        <v>5000</v>
      </c>
      <c r="E61" s="16">
        <v>5247.19</v>
      </c>
      <c r="F61" s="86"/>
      <c r="G61" s="113">
        <v>12500</v>
      </c>
      <c r="H61" s="16">
        <v>3868.78</v>
      </c>
      <c r="I61" s="16">
        <f t="shared" si="0"/>
        <v>1041.6666666666667</v>
      </c>
      <c r="J61" s="16"/>
      <c r="K61" s="3" t="s">
        <v>92</v>
      </c>
      <c r="L61" s="16">
        <v>7445.57</v>
      </c>
      <c r="M61" s="3">
        <v>5000</v>
      </c>
    </row>
    <row r="62" spans="1:13" x14ac:dyDescent="0.3">
      <c r="A62" s="1"/>
      <c r="B62" s="48" t="s">
        <v>8</v>
      </c>
      <c r="C62" s="105">
        <v>2000</v>
      </c>
      <c r="D62" s="18">
        <v>0</v>
      </c>
      <c r="E62" s="16">
        <f>3138.88+22.65</f>
        <v>3161.53</v>
      </c>
      <c r="F62" s="86"/>
      <c r="G62" s="113">
        <v>1000</v>
      </c>
      <c r="H62" s="16">
        <v>441.58</v>
      </c>
      <c r="I62" s="16">
        <f t="shared" si="0"/>
        <v>83.333333333333329</v>
      </c>
      <c r="J62" s="16"/>
      <c r="K62" s="3" t="s">
        <v>74</v>
      </c>
      <c r="L62" s="16">
        <v>1104.54</v>
      </c>
      <c r="M62" s="3">
        <v>5000</v>
      </c>
    </row>
    <row r="63" spans="1:13" x14ac:dyDescent="0.3">
      <c r="A63" s="1"/>
      <c r="B63" s="48" t="s">
        <v>9</v>
      </c>
      <c r="C63" s="105">
        <v>2000</v>
      </c>
      <c r="D63" s="18">
        <v>5000</v>
      </c>
      <c r="E63" s="16">
        <v>6269.7</v>
      </c>
      <c r="F63" s="86"/>
      <c r="G63" s="113">
        <v>7000</v>
      </c>
      <c r="H63" s="16">
        <v>789.68</v>
      </c>
      <c r="I63" s="16">
        <f t="shared" si="0"/>
        <v>583.33333333333337</v>
      </c>
      <c r="J63" s="16"/>
      <c r="K63" s="3" t="s">
        <v>103</v>
      </c>
      <c r="L63" s="16">
        <v>3578.04</v>
      </c>
      <c r="M63" s="3">
        <v>4000</v>
      </c>
    </row>
    <row r="64" spans="1:13" x14ac:dyDescent="0.3">
      <c r="A64" s="1"/>
      <c r="B64" s="48" t="s">
        <v>10</v>
      </c>
      <c r="C64" s="105">
        <v>20000</v>
      </c>
      <c r="D64" s="18">
        <v>5000</v>
      </c>
      <c r="E64" s="16">
        <v>896.55</v>
      </c>
      <c r="F64" s="86"/>
      <c r="G64" s="113">
        <v>20000</v>
      </c>
      <c r="H64" s="16">
        <v>693.1</v>
      </c>
      <c r="I64" s="16">
        <f t="shared" ref="I64:I85" si="17">G64/12</f>
        <v>1666.6666666666667</v>
      </c>
      <c r="J64" s="16"/>
      <c r="K64" s="3" t="s">
        <v>75</v>
      </c>
      <c r="L64" s="16">
        <v>760.29</v>
      </c>
      <c r="M64" s="3">
        <v>10000</v>
      </c>
    </row>
    <row r="65" spans="1:13" x14ac:dyDescent="0.3">
      <c r="A65" s="1"/>
      <c r="B65" s="48" t="s">
        <v>11</v>
      </c>
      <c r="C65" s="105">
        <v>2000</v>
      </c>
      <c r="D65" s="18">
        <v>0</v>
      </c>
      <c r="E65" s="16"/>
      <c r="F65" s="86"/>
      <c r="G65" s="113">
        <v>2000</v>
      </c>
      <c r="H65" s="16">
        <v>232.44</v>
      </c>
      <c r="I65" s="16">
        <f t="shared" si="17"/>
        <v>166.66666666666666</v>
      </c>
      <c r="J65" s="16"/>
      <c r="K65" s="3" t="s">
        <v>74</v>
      </c>
      <c r="L65" s="16">
        <v>232.44</v>
      </c>
    </row>
    <row r="66" spans="1:13" x14ac:dyDescent="0.3">
      <c r="A66" s="1"/>
      <c r="B66" s="48" t="s">
        <v>12</v>
      </c>
      <c r="C66" s="105">
        <v>10000</v>
      </c>
      <c r="D66" s="18">
        <v>3000</v>
      </c>
      <c r="E66" s="16">
        <v>5192.5</v>
      </c>
      <c r="F66" s="86"/>
      <c r="G66" s="113">
        <v>10000</v>
      </c>
      <c r="H66" s="16">
        <v>5901.5</v>
      </c>
      <c r="I66" s="16">
        <f t="shared" si="17"/>
        <v>833.33333333333337</v>
      </c>
      <c r="J66" s="16"/>
      <c r="K66" s="3" t="s">
        <v>66</v>
      </c>
      <c r="L66" s="16">
        <v>8070.04</v>
      </c>
      <c r="M66" s="3">
        <v>10000</v>
      </c>
    </row>
    <row r="67" spans="1:13" x14ac:dyDescent="0.3">
      <c r="A67" s="1"/>
      <c r="B67" s="49" t="s">
        <v>13</v>
      </c>
      <c r="C67" s="106">
        <v>1500</v>
      </c>
      <c r="D67" s="18">
        <v>300</v>
      </c>
      <c r="E67" s="16">
        <v>516.64</v>
      </c>
      <c r="F67" s="86"/>
      <c r="G67" s="113">
        <v>1500</v>
      </c>
      <c r="H67" s="16">
        <v>309.83</v>
      </c>
      <c r="I67" s="16">
        <f t="shared" si="17"/>
        <v>125</v>
      </c>
      <c r="J67" s="16"/>
      <c r="K67" s="3" t="s">
        <v>74</v>
      </c>
      <c r="L67" s="16">
        <v>310</v>
      </c>
      <c r="M67" s="3">
        <v>1500</v>
      </c>
    </row>
    <row r="68" spans="1:13" x14ac:dyDescent="0.3">
      <c r="A68" s="1"/>
      <c r="B68" s="48" t="s">
        <v>14</v>
      </c>
      <c r="C68" s="105">
        <v>8000</v>
      </c>
      <c r="D68" s="18">
        <v>1500</v>
      </c>
      <c r="E68" s="16">
        <f>2553.99+2181.21</f>
        <v>4735.2</v>
      </c>
      <c r="F68" s="86"/>
      <c r="G68" s="113">
        <v>7500</v>
      </c>
      <c r="H68" s="16">
        <f>2437.4+1391.44</f>
        <v>3828.84</v>
      </c>
      <c r="I68" s="16">
        <f t="shared" si="17"/>
        <v>625</v>
      </c>
      <c r="J68" s="16"/>
      <c r="K68" s="3" t="s">
        <v>64</v>
      </c>
      <c r="L68" s="16">
        <f>3595.12+2834.45</f>
        <v>6429.57</v>
      </c>
      <c r="M68" s="3">
        <v>6000</v>
      </c>
    </row>
    <row r="69" spans="1:13" x14ac:dyDescent="0.3">
      <c r="A69" s="1"/>
      <c r="B69" s="48" t="s">
        <v>15</v>
      </c>
      <c r="C69" s="105">
        <v>9000</v>
      </c>
      <c r="D69" s="18">
        <v>20000</v>
      </c>
      <c r="E69" s="16">
        <v>600</v>
      </c>
      <c r="F69" s="86"/>
      <c r="G69" s="113">
        <v>10000</v>
      </c>
      <c r="H69" s="16">
        <v>7237.5</v>
      </c>
      <c r="I69" s="16">
        <f t="shared" si="17"/>
        <v>833.33333333333337</v>
      </c>
      <c r="J69" s="16"/>
      <c r="K69" s="3" t="s">
        <v>83</v>
      </c>
      <c r="L69" s="16">
        <v>10775</v>
      </c>
      <c r="M69" s="3">
        <v>9000</v>
      </c>
    </row>
    <row r="70" spans="1:13" x14ac:dyDescent="0.3">
      <c r="A70" s="1"/>
      <c r="B70" s="48" t="s">
        <v>16</v>
      </c>
      <c r="C70" s="105">
        <v>1800</v>
      </c>
      <c r="D70" s="18">
        <v>1500</v>
      </c>
      <c r="E70" s="16">
        <v>2058.16</v>
      </c>
      <c r="F70" s="86"/>
      <c r="G70" s="113">
        <v>2000</v>
      </c>
      <c r="H70" s="16">
        <v>1347.47</v>
      </c>
      <c r="I70" s="16">
        <f t="shared" si="17"/>
        <v>166.66666666666666</v>
      </c>
      <c r="J70" s="16"/>
      <c r="K70" s="3" t="s">
        <v>77</v>
      </c>
      <c r="L70" s="16">
        <v>2955.19</v>
      </c>
      <c r="M70" s="3">
        <v>2000</v>
      </c>
    </row>
    <row r="71" spans="1:13" x14ac:dyDescent="0.3">
      <c r="A71" s="1"/>
      <c r="B71" s="48" t="s">
        <v>17</v>
      </c>
      <c r="C71" s="105">
        <v>20000</v>
      </c>
      <c r="D71" s="18">
        <v>50000</v>
      </c>
      <c r="E71" s="16">
        <v>4254.5</v>
      </c>
      <c r="F71" s="86"/>
      <c r="G71" s="113">
        <v>15000</v>
      </c>
      <c r="H71" s="16">
        <v>3311.36</v>
      </c>
      <c r="I71" s="16">
        <f t="shared" si="17"/>
        <v>1250</v>
      </c>
      <c r="J71" s="16"/>
      <c r="K71" s="3" t="s">
        <v>95</v>
      </c>
      <c r="L71" s="16">
        <v>6493.86</v>
      </c>
      <c r="M71" s="3">
        <v>15000</v>
      </c>
    </row>
    <row r="72" spans="1:13" s="25" customFormat="1" x14ac:dyDescent="0.3">
      <c r="A72" s="24"/>
      <c r="B72" s="48" t="s">
        <v>18</v>
      </c>
      <c r="C72" s="105">
        <v>60000</v>
      </c>
      <c r="D72" s="18">
        <v>80000</v>
      </c>
      <c r="E72" s="16">
        <v>16067.5</v>
      </c>
      <c r="F72" s="86"/>
      <c r="G72" s="113">
        <v>40000</v>
      </c>
      <c r="H72" s="16">
        <v>25165</v>
      </c>
      <c r="I72" s="16">
        <f t="shared" si="17"/>
        <v>3333.3333333333335</v>
      </c>
      <c r="J72" s="16"/>
      <c r="K72" s="65" t="s">
        <v>96</v>
      </c>
      <c r="L72" s="16">
        <v>50932.31</v>
      </c>
      <c r="M72" s="25">
        <v>40000</v>
      </c>
    </row>
    <row r="73" spans="1:13" x14ac:dyDescent="0.3">
      <c r="A73" s="1"/>
      <c r="B73" s="49" t="s">
        <v>19</v>
      </c>
      <c r="C73" s="106">
        <v>25000</v>
      </c>
      <c r="D73" s="18">
        <v>10000</v>
      </c>
      <c r="E73" s="16">
        <v>11712.62</v>
      </c>
      <c r="F73" s="86"/>
      <c r="G73" s="113">
        <v>25000</v>
      </c>
      <c r="H73" s="16">
        <v>10000</v>
      </c>
      <c r="I73" s="16">
        <f t="shared" si="17"/>
        <v>2083.3333333333335</v>
      </c>
      <c r="J73" s="16"/>
      <c r="K73" s="3" t="s">
        <v>75</v>
      </c>
      <c r="L73" s="16">
        <v>14688</v>
      </c>
      <c r="M73" s="3">
        <v>20000</v>
      </c>
    </row>
    <row r="74" spans="1:13" x14ac:dyDescent="0.3">
      <c r="A74" s="1"/>
      <c r="B74" s="49" t="s">
        <v>20</v>
      </c>
      <c r="C74" s="106">
        <v>20000</v>
      </c>
      <c r="D74" s="18">
        <v>25000</v>
      </c>
      <c r="E74" s="16">
        <v>14152.26</v>
      </c>
      <c r="F74" s="86"/>
      <c r="G74" s="113">
        <v>25000</v>
      </c>
      <c r="H74" s="16">
        <v>6135.07</v>
      </c>
      <c r="I74" s="16">
        <f t="shared" si="17"/>
        <v>2083.3333333333335</v>
      </c>
      <c r="J74" s="16"/>
      <c r="K74" s="3" t="s">
        <v>75</v>
      </c>
      <c r="L74" s="16">
        <f>31065.93+9870</f>
        <v>40935.93</v>
      </c>
      <c r="M74" s="3">
        <v>10000</v>
      </c>
    </row>
    <row r="75" spans="1:13" x14ac:dyDescent="0.3">
      <c r="A75" s="1"/>
      <c r="B75" s="49" t="s">
        <v>21</v>
      </c>
      <c r="C75" s="106">
        <v>2500</v>
      </c>
      <c r="D75" s="18">
        <v>0</v>
      </c>
      <c r="E75" s="16"/>
      <c r="F75" s="86"/>
      <c r="G75" s="113">
        <v>1000</v>
      </c>
      <c r="H75" s="16">
        <v>0</v>
      </c>
      <c r="I75" s="16">
        <f t="shared" si="17"/>
        <v>83.333333333333329</v>
      </c>
      <c r="J75" s="16"/>
      <c r="K75" s="3" t="s">
        <v>74</v>
      </c>
      <c r="L75" s="16">
        <v>0</v>
      </c>
    </row>
    <row r="76" spans="1:13" x14ac:dyDescent="0.3">
      <c r="A76" s="1"/>
      <c r="B76" s="49" t="s">
        <v>22</v>
      </c>
      <c r="C76" s="106">
        <v>250</v>
      </c>
      <c r="D76" s="18">
        <v>75</v>
      </c>
      <c r="E76" s="16"/>
      <c r="F76" s="86"/>
      <c r="G76" s="113">
        <v>250</v>
      </c>
      <c r="H76" s="16">
        <v>0</v>
      </c>
      <c r="I76" s="16">
        <f t="shared" si="17"/>
        <v>20.833333333333332</v>
      </c>
      <c r="J76" s="16"/>
      <c r="K76" s="3" t="s">
        <v>74</v>
      </c>
      <c r="L76" s="16">
        <v>0</v>
      </c>
    </row>
    <row r="77" spans="1:13" x14ac:dyDescent="0.3">
      <c r="A77" s="1"/>
      <c r="B77" s="49" t="s">
        <v>23</v>
      </c>
      <c r="C77" s="106">
        <v>5000</v>
      </c>
      <c r="D77" s="18">
        <v>2500</v>
      </c>
      <c r="E77" s="16">
        <v>4546.91</v>
      </c>
      <c r="F77" s="86"/>
      <c r="G77" s="113">
        <v>5000</v>
      </c>
      <c r="H77" s="16">
        <v>2241.81</v>
      </c>
      <c r="I77" s="16">
        <f t="shared" si="17"/>
        <v>416.66666666666669</v>
      </c>
      <c r="J77" s="16"/>
      <c r="K77" s="3" t="s">
        <v>80</v>
      </c>
      <c r="L77" s="16">
        <v>6489.42</v>
      </c>
      <c r="M77" s="3">
        <v>5500</v>
      </c>
    </row>
    <row r="78" spans="1:13" x14ac:dyDescent="0.3">
      <c r="A78" s="1"/>
      <c r="B78" s="48" t="s">
        <v>24</v>
      </c>
      <c r="C78" s="105">
        <v>2000</v>
      </c>
      <c r="D78" s="18">
        <v>300</v>
      </c>
      <c r="E78" s="16">
        <v>3047.21</v>
      </c>
      <c r="F78" s="86"/>
      <c r="G78" s="113">
        <v>2000</v>
      </c>
      <c r="H78" s="16">
        <v>2383.09</v>
      </c>
      <c r="I78" s="16">
        <f t="shared" si="17"/>
        <v>166.66666666666666</v>
      </c>
      <c r="J78" s="16"/>
      <c r="K78" s="3" t="s">
        <v>74</v>
      </c>
      <c r="L78" s="16">
        <v>7445.5</v>
      </c>
      <c r="M78" s="3">
        <v>3500</v>
      </c>
    </row>
    <row r="79" spans="1:13" x14ac:dyDescent="0.3">
      <c r="A79" s="1"/>
      <c r="B79" s="48" t="s">
        <v>26</v>
      </c>
      <c r="C79" s="105">
        <v>3500</v>
      </c>
      <c r="D79" s="18">
        <v>20000</v>
      </c>
      <c r="E79" s="16">
        <v>4564.66</v>
      </c>
      <c r="F79" s="86"/>
      <c r="G79" s="113">
        <v>5000</v>
      </c>
      <c r="H79" s="16">
        <v>2170.64</v>
      </c>
      <c r="I79" s="16">
        <f t="shared" si="17"/>
        <v>416.66666666666669</v>
      </c>
      <c r="J79" s="16"/>
      <c r="K79" s="3" t="s">
        <v>90</v>
      </c>
      <c r="L79" s="16">
        <v>4686.1099999999997</v>
      </c>
      <c r="M79" s="3">
        <v>4000</v>
      </c>
    </row>
    <row r="80" spans="1:13" x14ac:dyDescent="0.3">
      <c r="A80" s="1"/>
      <c r="B80" s="48" t="s">
        <v>27</v>
      </c>
      <c r="C80" s="105">
        <v>6500</v>
      </c>
      <c r="D80" s="18">
        <v>35000</v>
      </c>
      <c r="E80" s="16">
        <v>9465.6200000000008</v>
      </c>
      <c r="F80" s="86"/>
      <c r="G80" s="113">
        <v>10000</v>
      </c>
      <c r="H80" s="16">
        <v>6085.84</v>
      </c>
      <c r="I80" s="16">
        <f t="shared" si="17"/>
        <v>833.33333333333337</v>
      </c>
      <c r="J80" s="16"/>
      <c r="K80" s="3" t="s">
        <v>94</v>
      </c>
      <c r="L80" s="16">
        <v>10339.709999999999</v>
      </c>
      <c r="M80" s="3">
        <v>7000</v>
      </c>
    </row>
    <row r="81" spans="1:13" x14ac:dyDescent="0.3">
      <c r="A81" s="1"/>
      <c r="B81" s="49" t="s">
        <v>68</v>
      </c>
      <c r="C81" s="106">
        <v>2000</v>
      </c>
      <c r="D81" s="18">
        <v>25000</v>
      </c>
      <c r="E81" s="16">
        <v>1599.75</v>
      </c>
      <c r="F81" s="86"/>
      <c r="G81" s="113">
        <v>1250</v>
      </c>
      <c r="H81" s="16">
        <v>663.16</v>
      </c>
      <c r="I81" s="16">
        <f t="shared" si="17"/>
        <v>104.16666666666667</v>
      </c>
      <c r="J81" s="16"/>
      <c r="L81" s="16">
        <v>1280.03</v>
      </c>
      <c r="M81" s="3">
        <v>2000</v>
      </c>
    </row>
    <row r="82" spans="1:13" x14ac:dyDescent="0.3">
      <c r="A82" s="1"/>
      <c r="B82" s="47" t="s">
        <v>73</v>
      </c>
      <c r="C82" s="110">
        <v>12500</v>
      </c>
      <c r="D82" s="18"/>
      <c r="E82" s="57">
        <v>11683.63</v>
      </c>
      <c r="F82" s="86"/>
      <c r="G82" s="122">
        <v>13150</v>
      </c>
      <c r="H82" s="16">
        <v>4131.0200000000004</v>
      </c>
      <c r="I82" s="16">
        <f t="shared" si="17"/>
        <v>1095.8333333333333</v>
      </c>
      <c r="J82" s="57"/>
      <c r="L82" s="16">
        <v>8300.9599999999991</v>
      </c>
      <c r="M82" s="3">
        <v>12500</v>
      </c>
    </row>
    <row r="83" spans="1:13" x14ac:dyDescent="0.3">
      <c r="A83" s="1"/>
      <c r="B83" s="47" t="s">
        <v>93</v>
      </c>
      <c r="C83" s="110"/>
      <c r="D83" s="18"/>
      <c r="E83" s="57"/>
      <c r="F83" s="93"/>
      <c r="G83" s="122"/>
      <c r="H83" s="16"/>
      <c r="I83" s="16"/>
      <c r="J83" s="57"/>
      <c r="L83" s="16"/>
      <c r="M83" s="3">
        <v>29564.95</v>
      </c>
    </row>
    <row r="84" spans="1:13" x14ac:dyDescent="0.3">
      <c r="A84" s="1"/>
      <c r="B84" s="47" t="s">
        <v>99</v>
      </c>
      <c r="C84" s="110"/>
      <c r="D84" s="18"/>
      <c r="E84" s="57">
        <v>29564.95</v>
      </c>
      <c r="F84" s="93"/>
      <c r="G84" s="122"/>
      <c r="H84" s="16"/>
      <c r="I84" s="16"/>
      <c r="J84" s="57"/>
      <c r="L84" s="16"/>
    </row>
    <row r="85" spans="1:13" ht="19.5" thickBot="1" x14ac:dyDescent="0.35">
      <c r="A85" s="1"/>
      <c r="B85" s="50" t="s">
        <v>60</v>
      </c>
      <c r="C85" s="107">
        <v>50000</v>
      </c>
      <c r="D85" s="18"/>
      <c r="F85" s="83"/>
      <c r="G85" s="122">
        <v>50000</v>
      </c>
      <c r="H85" s="16" t="e">
        <f>G85-#REF!</f>
        <v>#REF!</v>
      </c>
      <c r="I85" s="16">
        <f t="shared" si="17"/>
        <v>4166.666666666667</v>
      </c>
      <c r="J85" s="16"/>
      <c r="L85" s="16">
        <v>50000</v>
      </c>
    </row>
    <row r="86" spans="1:13" ht="19.5" thickBot="1" x14ac:dyDescent="0.35">
      <c r="A86" s="1"/>
      <c r="B86" s="60" t="s">
        <v>31</v>
      </c>
      <c r="C86" s="109">
        <f>SUM(C58:C85)</f>
        <v>471550</v>
      </c>
      <c r="D86" s="60">
        <f t="shared" ref="D86:G86" si="18">SUM(D58:D85)</f>
        <v>320175</v>
      </c>
      <c r="E86" s="60">
        <f t="shared" si="18"/>
        <v>302836.3</v>
      </c>
      <c r="F86" s="94">
        <f t="shared" si="18"/>
        <v>0</v>
      </c>
      <c r="G86" s="123">
        <f t="shared" si="18"/>
        <v>467650</v>
      </c>
      <c r="H86" s="61" t="e">
        <f t="shared" ref="H86:M86" si="19">SUM(H58:H85)</f>
        <v>#REF!</v>
      </c>
      <c r="I86" s="61">
        <f t="shared" si="19"/>
        <v>38970.833333333328</v>
      </c>
      <c r="J86" s="61">
        <f t="shared" si="19"/>
        <v>0</v>
      </c>
      <c r="K86" s="61">
        <f t="shared" si="19"/>
        <v>0</v>
      </c>
      <c r="L86" s="61">
        <f t="shared" si="19"/>
        <v>427343.99000000011</v>
      </c>
      <c r="M86" s="3">
        <f t="shared" si="19"/>
        <v>381064.95</v>
      </c>
    </row>
    <row r="87" spans="1:13" x14ac:dyDescent="0.3">
      <c r="A87" s="1"/>
      <c r="B87" s="51"/>
      <c r="C87" s="51"/>
      <c r="D87" s="17"/>
    </row>
    <row r="88" spans="1:13" x14ac:dyDescent="0.3">
      <c r="A88" s="19"/>
      <c r="B88" s="58"/>
      <c r="C88" s="58"/>
      <c r="D88" s="17"/>
      <c r="E88" s="17"/>
      <c r="F88" s="17"/>
      <c r="G88" s="25"/>
    </row>
    <row r="89" spans="1:13" ht="19.5" thickBot="1" x14ac:dyDescent="0.35">
      <c r="A89" s="19"/>
      <c r="B89" s="58"/>
      <c r="C89" s="58"/>
      <c r="D89" s="17"/>
      <c r="E89" s="17"/>
      <c r="F89" s="17"/>
      <c r="G89" s="127"/>
      <c r="J89" s="78"/>
      <c r="K89" s="20"/>
      <c r="L89" s="20"/>
    </row>
    <row r="90" spans="1:13" x14ac:dyDescent="0.3">
      <c r="A90" s="1"/>
      <c r="B90" s="51"/>
      <c r="C90" s="51"/>
      <c r="D90" s="17"/>
      <c r="E90" s="17"/>
      <c r="F90" s="17"/>
      <c r="G90" s="128"/>
      <c r="H90" s="75"/>
      <c r="I90" s="75"/>
      <c r="J90" s="124"/>
      <c r="K90" s="126"/>
      <c r="L90" s="72"/>
    </row>
    <row r="91" spans="1:13" x14ac:dyDescent="0.3">
      <c r="A91" s="1"/>
      <c r="B91" s="51"/>
      <c r="C91" s="51"/>
      <c r="D91" s="17"/>
      <c r="E91" s="17"/>
      <c r="F91" s="17"/>
      <c r="G91" s="128"/>
      <c r="J91" s="125"/>
      <c r="K91" s="20"/>
      <c r="L91" s="73"/>
    </row>
    <row r="92" spans="1:13" x14ac:dyDescent="0.3">
      <c r="A92" s="1"/>
      <c r="B92" s="51"/>
      <c r="C92" s="51"/>
      <c r="D92" s="17"/>
      <c r="E92" s="17"/>
      <c r="F92" s="17"/>
      <c r="G92" s="128"/>
      <c r="J92" s="125"/>
      <c r="K92" s="20"/>
      <c r="L92" s="73"/>
    </row>
    <row r="93" spans="1:13" x14ac:dyDescent="0.3">
      <c r="B93" s="52"/>
      <c r="C93" s="52"/>
      <c r="D93" s="20"/>
      <c r="E93" s="20"/>
      <c r="F93" s="20"/>
      <c r="G93" s="129"/>
      <c r="H93" s="76"/>
      <c r="I93" s="76"/>
      <c r="J93" s="79"/>
      <c r="K93" s="126"/>
      <c r="L93" s="73"/>
    </row>
    <row r="94" spans="1:13" x14ac:dyDescent="0.3">
      <c r="B94" s="52"/>
      <c r="C94" s="52"/>
      <c r="D94" s="20"/>
      <c r="E94" s="20"/>
      <c r="F94" s="20"/>
      <c r="G94" s="128"/>
      <c r="J94" s="125"/>
      <c r="K94" s="20"/>
      <c r="L94" s="73"/>
    </row>
    <row r="95" spans="1:13" x14ac:dyDescent="0.3">
      <c r="B95" s="52"/>
      <c r="C95" s="52"/>
      <c r="D95" s="20"/>
      <c r="E95" s="20"/>
      <c r="F95" s="20"/>
      <c r="G95" s="130"/>
      <c r="H95" s="76"/>
      <c r="I95" s="76"/>
      <c r="J95" s="79"/>
      <c r="K95" s="20"/>
      <c r="L95" s="73"/>
    </row>
    <row r="96" spans="1:13" x14ac:dyDescent="0.3">
      <c r="B96" s="52"/>
      <c r="C96" s="52"/>
      <c r="D96" s="20"/>
      <c r="E96" s="20"/>
      <c r="F96" s="20"/>
      <c r="G96" s="131"/>
      <c r="J96" s="125"/>
      <c r="K96" s="20"/>
      <c r="L96" s="74"/>
    </row>
    <row r="97" spans="2:12" x14ac:dyDescent="0.3">
      <c r="B97" s="52"/>
      <c r="C97" s="52"/>
      <c r="D97" s="20"/>
      <c r="E97" s="20"/>
      <c r="F97" s="20"/>
      <c r="G97" s="131"/>
      <c r="J97" s="125"/>
      <c r="K97" s="20"/>
      <c r="L97" s="73"/>
    </row>
    <row r="98" spans="2:12" x14ac:dyDescent="0.3">
      <c r="G98" s="131"/>
      <c r="J98" s="125"/>
      <c r="K98" s="20"/>
      <c r="L98" s="73"/>
    </row>
    <row r="99" spans="2:12" x14ac:dyDescent="0.3">
      <c r="G99" s="131"/>
      <c r="J99" s="125"/>
      <c r="K99" s="20"/>
      <c r="L99" s="73"/>
    </row>
    <row r="100" spans="2:12" x14ac:dyDescent="0.3">
      <c r="G100" s="131"/>
      <c r="J100" s="125"/>
      <c r="K100" s="20"/>
      <c r="L100" s="73"/>
    </row>
    <row r="101" spans="2:12" x14ac:dyDescent="0.3">
      <c r="G101" s="130"/>
      <c r="H101" s="76"/>
      <c r="I101" s="76"/>
      <c r="J101" s="79"/>
      <c r="K101" s="20"/>
      <c r="L101" s="73"/>
    </row>
    <row r="102" spans="2:12" x14ac:dyDescent="0.3">
      <c r="G102" s="131"/>
      <c r="J102" s="125"/>
      <c r="K102" s="20"/>
      <c r="L102" s="73"/>
    </row>
    <row r="103" spans="2:12" ht="19.5" thickBot="1" x14ac:dyDescent="0.35">
      <c r="G103" s="128"/>
      <c r="H103" s="77"/>
      <c r="I103" s="77"/>
      <c r="J103" s="80"/>
      <c r="K103" s="20"/>
      <c r="L103" s="73"/>
    </row>
    <row r="104" spans="2:12" x14ac:dyDescent="0.3">
      <c r="G104" s="25"/>
      <c r="L104" s="74"/>
    </row>
    <row r="105" spans="2:12" x14ac:dyDescent="0.3">
      <c r="G105" s="25"/>
      <c r="L105" s="20"/>
    </row>
    <row r="106" spans="2:12" x14ac:dyDescent="0.3">
      <c r="G106" s="25"/>
      <c r="L106" s="20"/>
    </row>
  </sheetData>
  <mergeCells count="1">
    <mergeCell ref="G2:K2"/>
  </mergeCells>
  <pageMargins left="0.75" right="0" top="0.75" bottom="0.25" header="0.3" footer="0.3"/>
  <pageSetup paperSize="5" scale="57" fitToHeight="0" orientation="portrait" r:id="rId1"/>
  <headerFooter>
    <oddHeader xml:space="preserve">&amp;C&amp;"Times New Roman,Bold"&amp;14Reclamation District 2035
&amp;KFF0000PROPOSED BUDGET 22 - 23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2"/>
  <sheetViews>
    <sheetView workbookViewId="0">
      <selection activeCell="G5" sqref="G5"/>
    </sheetView>
  </sheetViews>
  <sheetFormatPr defaultRowHeight="15" x14ac:dyDescent="0.25"/>
  <cols>
    <col min="2" max="2" width="18.28515625" customWidth="1"/>
    <col min="5" max="5" width="13.140625" bestFit="1" customWidth="1"/>
    <col min="6" max="6" width="11.28515625" customWidth="1"/>
    <col min="7" max="7" width="9.85546875" customWidth="1"/>
    <col min="8" max="8" width="11.28515625" customWidth="1"/>
    <col min="9" max="9" width="9.28515625" customWidth="1"/>
    <col min="10" max="10" width="10.7109375" bestFit="1" customWidth="1"/>
  </cols>
  <sheetData>
    <row r="1" spans="1:10" ht="18.75" x14ac:dyDescent="0.3">
      <c r="A1" s="26" t="s">
        <v>45</v>
      </c>
      <c r="B1" s="27"/>
      <c r="C1" s="27"/>
      <c r="D1" s="27"/>
      <c r="E1" s="27"/>
      <c r="F1" s="27"/>
      <c r="G1" s="27"/>
      <c r="H1" s="27"/>
      <c r="I1" s="27"/>
      <c r="J1" s="27"/>
    </row>
    <row r="2" spans="1:10" x14ac:dyDescent="0.25">
      <c r="A2" s="27"/>
      <c r="B2" s="27"/>
      <c r="C2" s="55" t="s">
        <v>47</v>
      </c>
      <c r="D2" s="55" t="s">
        <v>48</v>
      </c>
      <c r="E2" s="55" t="s">
        <v>49</v>
      </c>
      <c r="F2" s="56" t="s">
        <v>50</v>
      </c>
      <c r="G2" s="56" t="s">
        <v>51</v>
      </c>
      <c r="H2" s="27"/>
      <c r="I2" s="27"/>
      <c r="J2" s="27"/>
    </row>
    <row r="3" spans="1:10" s="21" customFormat="1" ht="15.75" x14ac:dyDescent="0.25">
      <c r="A3" s="28" t="s">
        <v>46</v>
      </c>
      <c r="B3" s="28"/>
      <c r="C3" s="28">
        <v>33600</v>
      </c>
      <c r="D3" s="28">
        <f>C3*0.0765</f>
        <v>2570.4</v>
      </c>
      <c r="E3" s="29">
        <f>7000*3.4%</f>
        <v>238.00000000000003</v>
      </c>
      <c r="F3" s="28">
        <v>800</v>
      </c>
      <c r="G3" s="28">
        <f>C3*10%</f>
        <v>3360</v>
      </c>
      <c r="H3" s="28"/>
      <c r="I3" s="28"/>
      <c r="J3" s="28"/>
    </row>
    <row r="4" spans="1:10" s="21" customFormat="1" ht="15.75" x14ac:dyDescent="0.25">
      <c r="A4" s="28" t="s">
        <v>63</v>
      </c>
      <c r="B4" s="28"/>
      <c r="C4" s="28">
        <v>49920</v>
      </c>
      <c r="D4" s="28">
        <f>C4*0.0765</f>
        <v>3818.88</v>
      </c>
      <c r="E4" s="29">
        <f>7000*3.4%</f>
        <v>238.00000000000003</v>
      </c>
      <c r="F4" s="28">
        <v>11362</v>
      </c>
      <c r="G4" s="28">
        <v>5057</v>
      </c>
      <c r="H4" s="28"/>
      <c r="I4" s="28"/>
      <c r="J4" s="28"/>
    </row>
    <row r="5" spans="1:10" s="21" customFormat="1" ht="15.75" x14ac:dyDescent="0.25">
      <c r="A5" s="28"/>
      <c r="B5" s="28"/>
      <c r="C5" s="28"/>
      <c r="D5" s="28"/>
      <c r="E5" s="29"/>
      <c r="F5" s="28"/>
      <c r="G5" s="28"/>
      <c r="H5" s="28"/>
      <c r="I5" s="28"/>
      <c r="J5" s="28"/>
    </row>
    <row r="6" spans="1:10" s="21" customFormat="1" ht="15.75" x14ac:dyDescent="0.25">
      <c r="A6" s="28"/>
      <c r="B6" s="28"/>
      <c r="C6" s="28">
        <f>SUM(C3:C5)</f>
        <v>83520</v>
      </c>
      <c r="D6" s="28">
        <f t="shared" ref="D6:G6" si="0">SUM(D3:D5)</f>
        <v>6389.2800000000007</v>
      </c>
      <c r="E6" s="28">
        <f t="shared" si="0"/>
        <v>476.00000000000006</v>
      </c>
      <c r="F6" s="28">
        <f t="shared" si="0"/>
        <v>12162</v>
      </c>
      <c r="G6" s="28">
        <f t="shared" si="0"/>
        <v>8417</v>
      </c>
      <c r="H6" s="28">
        <f>SUM(C6:G6)</f>
        <v>110964.28</v>
      </c>
      <c r="I6" s="28"/>
      <c r="J6" s="28"/>
    </row>
    <row r="7" spans="1:10" s="21" customFormat="1" ht="15.75" x14ac:dyDescent="0.25">
      <c r="A7" s="28"/>
      <c r="B7" s="28"/>
      <c r="C7" s="28"/>
      <c r="D7" s="28"/>
      <c r="E7" s="29"/>
      <c r="F7" s="28"/>
      <c r="G7" s="28"/>
      <c r="H7" s="28"/>
      <c r="I7" s="28"/>
      <c r="J7" s="28"/>
    </row>
    <row r="8" spans="1:10" s="21" customFormat="1" ht="15.75" x14ac:dyDescent="0.25">
      <c r="A8" s="28" t="s">
        <v>52</v>
      </c>
      <c r="B8" s="28"/>
      <c r="C8" s="28" t="s">
        <v>53</v>
      </c>
      <c r="D8" s="28"/>
      <c r="E8" s="29" t="s">
        <v>54</v>
      </c>
      <c r="F8" s="28"/>
      <c r="G8" s="28"/>
      <c r="H8" s="28"/>
      <c r="I8" s="28"/>
      <c r="J8" s="28"/>
    </row>
    <row r="9" spans="1:10" s="21" customFormat="1" ht="15.75" x14ac:dyDescent="0.25">
      <c r="A9" s="28"/>
      <c r="B9" s="28"/>
      <c r="C9" s="28"/>
      <c r="D9" s="28"/>
      <c r="E9" s="29"/>
      <c r="F9" s="28"/>
      <c r="G9" s="28"/>
      <c r="H9" s="28"/>
      <c r="I9" s="28"/>
      <c r="J9" s="28"/>
    </row>
    <row r="10" spans="1:10" s="21" customFormat="1" ht="15.75" x14ac:dyDescent="0.25">
      <c r="A10" s="28"/>
      <c r="B10" s="28"/>
      <c r="C10" s="28"/>
      <c r="D10" s="28"/>
      <c r="E10" s="29"/>
      <c r="F10" s="28"/>
      <c r="G10" s="28"/>
      <c r="H10" s="29"/>
      <c r="I10" s="28"/>
      <c r="J10" s="28"/>
    </row>
    <row r="11" spans="1:10" s="21" customFormat="1" ht="15.75" x14ac:dyDescent="0.25">
      <c r="A11" s="28" t="s">
        <v>63</v>
      </c>
      <c r="B11" s="28"/>
      <c r="C11" s="28">
        <f>1400*12</f>
        <v>16800</v>
      </c>
      <c r="D11" s="28"/>
      <c r="E11" s="29">
        <v>0</v>
      </c>
      <c r="F11" s="28"/>
      <c r="G11" s="28"/>
      <c r="H11" s="29">
        <f>C11-E11</f>
        <v>16800</v>
      </c>
      <c r="I11" s="28"/>
      <c r="J11" s="28"/>
    </row>
    <row r="12" spans="1:10" s="21" customFormat="1" ht="15.75" x14ac:dyDescent="0.25">
      <c r="A12" s="28"/>
      <c r="B12" s="28"/>
      <c r="C12" s="28"/>
      <c r="D12" s="28"/>
      <c r="E12" s="29"/>
      <c r="F12" s="28"/>
      <c r="G12" s="28"/>
      <c r="H12" s="29">
        <f>SUM(H10:H11)</f>
        <v>16800</v>
      </c>
      <c r="I12" s="28"/>
      <c r="J12" s="28"/>
    </row>
    <row r="13" spans="1:10" s="21" customFormat="1" ht="15.75" x14ac:dyDescent="0.25">
      <c r="A13" s="28"/>
      <c r="B13" s="28"/>
      <c r="C13" s="28"/>
      <c r="D13" s="28"/>
      <c r="E13" s="29"/>
      <c r="F13" s="28"/>
      <c r="G13" s="28"/>
      <c r="H13" s="28"/>
      <c r="I13" s="28"/>
      <c r="J13" s="28"/>
    </row>
    <row r="14" spans="1:10" s="21" customFormat="1" ht="15.75" x14ac:dyDescent="0.25">
      <c r="A14" s="28"/>
      <c r="B14" s="28"/>
      <c r="C14" s="28"/>
      <c r="D14" s="28"/>
      <c r="E14" s="29"/>
      <c r="F14" s="28"/>
      <c r="G14" s="28"/>
      <c r="H14" s="28"/>
      <c r="I14" s="28"/>
      <c r="J14" s="28"/>
    </row>
    <row r="15" spans="1:10" s="21" customFormat="1" ht="15.75" x14ac:dyDescent="0.25">
      <c r="A15" s="28"/>
      <c r="B15" s="28"/>
      <c r="C15" s="28"/>
      <c r="D15" s="28"/>
      <c r="E15" s="29"/>
      <c r="F15" s="30"/>
      <c r="G15" s="30"/>
      <c r="H15" s="30"/>
      <c r="I15" s="28"/>
      <c r="J15" s="30"/>
    </row>
    <row r="16" spans="1:10" s="21" customFormat="1" ht="15.75" x14ac:dyDescent="0.25">
      <c r="A16" s="28"/>
      <c r="B16" s="28"/>
      <c r="C16" s="28"/>
      <c r="D16" s="28"/>
      <c r="E16" s="29"/>
      <c r="F16" s="31"/>
      <c r="G16" s="31"/>
      <c r="H16" s="31"/>
      <c r="I16" s="31"/>
      <c r="J16" s="31"/>
    </row>
    <row r="17" spans="1:10" s="21" customFormat="1" ht="15.75" x14ac:dyDescent="0.25">
      <c r="A17" s="28"/>
      <c r="B17" s="28"/>
      <c r="C17" s="28"/>
      <c r="D17" s="28"/>
      <c r="E17" s="29"/>
      <c r="F17" s="28"/>
      <c r="G17" s="28"/>
      <c r="H17" s="28"/>
      <c r="I17" s="28"/>
      <c r="J17" s="28"/>
    </row>
    <row r="18" spans="1:10" s="21" customFormat="1" ht="15.75" x14ac:dyDescent="0.25">
      <c r="A18" s="28"/>
      <c r="B18" s="28"/>
      <c r="C18" s="28"/>
      <c r="D18" s="28"/>
      <c r="E18" s="32"/>
      <c r="F18" s="28"/>
      <c r="G18" s="28"/>
      <c r="H18" s="28"/>
      <c r="I18" s="28"/>
      <c r="J18" s="28"/>
    </row>
    <row r="19" spans="1:10" s="21" customFormat="1" ht="15.75" x14ac:dyDescent="0.25">
      <c r="E19" s="22"/>
    </row>
    <row r="20" spans="1:10" x14ac:dyDescent="0.25">
      <c r="E20" s="23"/>
    </row>
    <row r="21" spans="1:10" x14ac:dyDescent="0.25">
      <c r="E21" s="23"/>
    </row>
    <row r="22" spans="1:10" x14ac:dyDescent="0.25">
      <c r="E22" s="23"/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Pam Welling</dc:creator>
  <cp:lastModifiedBy>DeniseCosta</cp:lastModifiedBy>
  <cp:lastPrinted>2022-06-08T17:25:32Z</cp:lastPrinted>
  <dcterms:created xsi:type="dcterms:W3CDTF">2016-05-13T15:42:28Z</dcterms:created>
  <dcterms:modified xsi:type="dcterms:W3CDTF">2022-06-08T17:26:13Z</dcterms:modified>
</cp:coreProperties>
</file>