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D Board Agendas\RD Board Meeting 6.20.18\"/>
    </mc:Choice>
  </mc:AlternateContent>
  <xr:revisionPtr revIDLastSave="0" documentId="10_ncr:8100000_{E1CDCFFC-0691-4D85-958C-43D93876A539}" xr6:coauthVersionLast="32" xr6:coauthVersionMax="32" xr10:uidLastSave="{00000000-0000-0000-0000-000000000000}"/>
  <bookViews>
    <workbookView minimized="1" xWindow="0" yWindow="0" windowWidth="7476" windowHeight="2148" xr2:uid="{00000000-000D-0000-FFFF-FFFF00000000}"/>
  </bookViews>
  <sheets>
    <sheet name="Cash Balance" sheetId="1" r:id="rId1"/>
    <sheet name="MO_WD cash projection" sheetId="2" r:id="rId2"/>
    <sheet name="Sheet3" sheetId="3" r:id="rId3"/>
  </sheets>
  <calcPr calcId="162913"/>
  <fileRecoveryPr autoRecover="0"/>
</workbook>
</file>

<file path=xl/calcChain.xml><?xml version="1.0" encoding="utf-8"?>
<calcChain xmlns="http://schemas.openxmlformats.org/spreadsheetml/2006/main">
  <c r="F258" i="1" l="1"/>
  <c r="E258" i="1"/>
  <c r="C258" i="1"/>
  <c r="F257" i="1"/>
  <c r="D258" i="1"/>
  <c r="E257" i="1"/>
  <c r="E239" i="1" l="1"/>
  <c r="F255" i="1"/>
  <c r="C241" i="1"/>
  <c r="C240" i="1" l="1"/>
  <c r="D241" i="1" l="1"/>
  <c r="E240" i="1"/>
  <c r="D232" i="1" l="1"/>
  <c r="D238" i="1" s="1"/>
  <c r="E238" i="1" s="1"/>
  <c r="E237" i="1"/>
  <c r="E236" i="1"/>
  <c r="E235" i="1"/>
  <c r="E234" i="1"/>
  <c r="E233" i="1"/>
  <c r="F238" i="1"/>
  <c r="C238" i="1"/>
  <c r="E241" i="1"/>
  <c r="D233" i="1" l="1"/>
  <c r="C233" i="1"/>
  <c r="F234" i="1" l="1"/>
  <c r="G238" i="1"/>
  <c r="E231" i="1" l="1"/>
  <c r="E230" i="1"/>
  <c r="D228" i="1" l="1"/>
  <c r="C228" i="1"/>
  <c r="C202" i="1" l="1"/>
  <c r="D202" i="1"/>
  <c r="E226" i="1" l="1"/>
  <c r="E228" i="1" l="1"/>
  <c r="E225" i="1" l="1"/>
  <c r="E224" i="1"/>
  <c r="C222" i="1" l="1"/>
  <c r="E222" i="1" l="1"/>
  <c r="E221" i="1" l="1"/>
  <c r="E219" i="1" l="1"/>
  <c r="E218" i="1" l="1"/>
  <c r="C217" i="1" l="1"/>
  <c r="E217" i="1" s="1"/>
  <c r="E215" i="1" l="1"/>
  <c r="E214" i="1"/>
  <c r="E213" i="1" l="1"/>
  <c r="E212" i="1" l="1"/>
  <c r="E211" i="1" l="1"/>
  <c r="E208" i="1" l="1"/>
  <c r="E207" i="1" l="1"/>
  <c r="E205" i="1" l="1"/>
  <c r="E204" i="1"/>
  <c r="E202" i="1"/>
  <c r="C201" i="1"/>
  <c r="E201" i="1" s="1"/>
  <c r="C196" i="1" l="1"/>
  <c r="E198" i="1" l="1"/>
  <c r="E197" i="1" l="1"/>
  <c r="E189" i="1" l="1"/>
  <c r="E196" i="1" l="1"/>
  <c r="C194" i="1"/>
  <c r="C193" i="1"/>
  <c r="I17" i="2" l="1"/>
  <c r="I16" i="2"/>
  <c r="I15" i="2"/>
  <c r="I14" i="2"/>
  <c r="I13" i="2"/>
  <c r="I12" i="2"/>
  <c r="I9" i="2"/>
  <c r="I8" i="2"/>
  <c r="I7" i="2"/>
  <c r="I6" i="2"/>
  <c r="I5" i="2"/>
  <c r="I4" i="2"/>
  <c r="C8" i="2"/>
  <c r="I3" i="2"/>
  <c r="C10" i="2"/>
  <c r="C17" i="2" s="1"/>
  <c r="I10" i="2" l="1"/>
  <c r="G10" i="2" l="1"/>
  <c r="G17" i="2" s="1"/>
  <c r="E191" i="1" l="1"/>
  <c r="E194" i="1" l="1"/>
  <c r="E193" i="1" l="1"/>
  <c r="E176" i="1"/>
  <c r="E177" i="1"/>
  <c r="E178" i="1"/>
  <c r="F156" i="1"/>
  <c r="E155" i="1"/>
  <c r="C151" i="1"/>
  <c r="C153" i="1" l="1"/>
  <c r="C156" i="1" s="1"/>
  <c r="C159" i="1" s="1"/>
  <c r="E190" i="1" l="1"/>
  <c r="E183" i="1" l="1"/>
  <c r="E184" i="1"/>
  <c r="E185" i="1"/>
  <c r="E186" i="1"/>
  <c r="E188" i="1"/>
  <c r="E181" i="1" l="1"/>
  <c r="E180" i="1"/>
  <c r="E145" i="1" l="1"/>
  <c r="E175" i="1" l="1"/>
  <c r="C174" i="1" l="1"/>
  <c r="E174" i="1" s="1"/>
  <c r="F173" i="1" l="1"/>
  <c r="F179" i="1" s="1"/>
  <c r="E172" i="1"/>
  <c r="E171" i="1"/>
  <c r="E168" i="1"/>
  <c r="E169" i="1"/>
  <c r="E170" i="1"/>
  <c r="E167" i="1"/>
  <c r="F182" i="1" l="1"/>
  <c r="F187" i="1" s="1"/>
  <c r="F192" i="1" s="1"/>
  <c r="F195" i="1" s="1"/>
  <c r="F200" i="1" s="1"/>
  <c r="E166" i="1"/>
  <c r="C160" i="1"/>
  <c r="E160" i="1" s="1"/>
  <c r="F203" i="1" l="1"/>
  <c r="F206" i="1" s="1"/>
  <c r="E164" i="1"/>
  <c r="F210" i="1" l="1"/>
  <c r="F216" i="1" s="1"/>
  <c r="F220" i="1" s="1"/>
  <c r="F223" i="1" s="1"/>
  <c r="F251" i="1" s="1"/>
  <c r="C44" i="1"/>
  <c r="E32" i="1"/>
  <c r="E163" i="1" l="1"/>
  <c r="E144" i="1"/>
  <c r="D153" i="1" l="1"/>
  <c r="D156" i="1" s="1"/>
  <c r="D159" i="1" s="1"/>
  <c r="C162" i="1" l="1"/>
  <c r="C165" i="1" s="1"/>
  <c r="C173" i="1" s="1"/>
  <c r="C179" i="1" s="1"/>
  <c r="C182" i="1" s="1"/>
  <c r="C187" i="1" l="1"/>
  <c r="E158" i="1"/>
  <c r="E157" i="1"/>
  <c r="C192" i="1" l="1"/>
  <c r="C195" i="1" s="1"/>
  <c r="C200" i="1" s="1"/>
  <c r="F158" i="1"/>
  <c r="F157" i="1"/>
  <c r="C203" i="1" l="1"/>
  <c r="C206" i="1" s="1"/>
  <c r="F139" i="1"/>
  <c r="F131" i="1"/>
  <c r="C210" i="1" l="1"/>
  <c r="C216" i="1" s="1"/>
  <c r="C220" i="1" s="1"/>
  <c r="C223" i="1" s="1"/>
  <c r="C227" i="1" s="1"/>
  <c r="C229" i="1" s="1"/>
  <c r="C232" i="1" s="1"/>
  <c r="E154" i="1"/>
  <c r="E152" i="1"/>
  <c r="E151" i="1"/>
  <c r="E143" i="1"/>
  <c r="D162" i="1" l="1"/>
  <c r="D165" i="1" s="1"/>
  <c r="D173" i="1" s="1"/>
  <c r="D179" i="1" s="1"/>
  <c r="D182" i="1" s="1"/>
  <c r="D187" i="1" s="1"/>
  <c r="D192" i="1" s="1"/>
  <c r="D195" i="1" s="1"/>
  <c r="D200" i="1" s="1"/>
  <c r="D203" i="1" s="1"/>
  <c r="D206" i="1" s="1"/>
  <c r="E113" i="1"/>
  <c r="E111" i="1"/>
  <c r="E101" i="1"/>
  <c r="C81" i="1"/>
  <c r="E147" i="1"/>
  <c r="E153" i="1" s="1"/>
  <c r="D210" i="1" l="1"/>
  <c r="D216" i="1" s="1"/>
  <c r="D220" i="1" s="1"/>
  <c r="D223" i="1" s="1"/>
  <c r="D227" i="1" s="1"/>
  <c r="D229" i="1" s="1"/>
  <c r="E156" i="1"/>
  <c r="G153" i="1"/>
  <c r="G147" i="1"/>
  <c r="E141" i="1"/>
  <c r="E142" i="1"/>
  <c r="E140" i="1"/>
  <c r="E159" i="1" l="1"/>
  <c r="G159" i="1" s="1"/>
  <c r="G156" i="1"/>
  <c r="E137" i="1"/>
  <c r="E138" i="1"/>
  <c r="E133" i="1"/>
  <c r="E134" i="1"/>
  <c r="E135" i="1"/>
  <c r="E136" i="1"/>
  <c r="E132" i="1"/>
  <c r="E130" i="1"/>
  <c r="E125" i="1"/>
  <c r="E129" i="1"/>
  <c r="E128" i="1"/>
  <c r="E126" i="1"/>
  <c r="E127" i="1"/>
  <c r="E124" i="1"/>
  <c r="E162" i="1" l="1"/>
  <c r="G162" i="1" s="1"/>
  <c r="C122" i="1"/>
  <c r="E122" i="1" s="1"/>
  <c r="E119" i="1"/>
  <c r="E120" i="1"/>
  <c r="E121" i="1"/>
  <c r="E118" i="1"/>
  <c r="E109" i="1"/>
  <c r="E116" i="1"/>
  <c r="E108" i="1"/>
  <c r="E107" i="1"/>
  <c r="E112" i="1"/>
  <c r="E115" i="1"/>
  <c r="E114" i="1"/>
  <c r="E106" i="1"/>
  <c r="E103" i="1"/>
  <c r="E105" i="1"/>
  <c r="E99" i="1"/>
  <c r="E100" i="1"/>
  <c r="E98" i="1"/>
  <c r="E93" i="1"/>
  <c r="E94" i="1"/>
  <c r="E95" i="1"/>
  <c r="E96" i="1"/>
  <c r="E92" i="1"/>
  <c r="E76" i="1"/>
  <c r="D81" i="1"/>
  <c r="D44" i="1"/>
  <c r="E44" i="1" s="1"/>
  <c r="E78" i="1"/>
  <c r="E90" i="1"/>
  <c r="E89" i="1"/>
  <c r="E88" i="1"/>
  <c r="E84" i="1"/>
  <c r="E165" i="1" l="1"/>
  <c r="E173" i="1" s="1"/>
  <c r="E179" i="1" s="1"/>
  <c r="D85" i="1"/>
  <c r="C85" i="1"/>
  <c r="E86" i="1"/>
  <c r="C80" i="1"/>
  <c r="G173" i="1" l="1"/>
  <c r="E182" i="1"/>
  <c r="E74" i="1"/>
  <c r="E71" i="1"/>
  <c r="G182" i="1" l="1"/>
  <c r="E187" i="1"/>
  <c r="G179" i="1"/>
  <c r="E85" i="1"/>
  <c r="F86" i="1" s="1"/>
  <c r="E83" i="1"/>
  <c r="F84" i="1" s="1"/>
  <c r="E77" i="1"/>
  <c r="E192" i="1" l="1"/>
  <c r="E195" i="1" s="1"/>
  <c r="E200" i="1" s="1"/>
  <c r="E203" i="1" s="1"/>
  <c r="E206" i="1" s="1"/>
  <c r="E210" i="1" s="1"/>
  <c r="G187" i="1"/>
  <c r="E81" i="1"/>
  <c r="E80" i="1"/>
  <c r="G206" i="1" l="1"/>
  <c r="E216" i="1"/>
  <c r="E220" i="1" s="1"/>
  <c r="E223" i="1" s="1"/>
  <c r="G200" i="1"/>
  <c r="G192" i="1"/>
  <c r="G195" i="1"/>
  <c r="C73" i="1"/>
  <c r="E73" i="1" s="1"/>
  <c r="E227" i="1" l="1"/>
  <c r="E229" i="1" s="1"/>
  <c r="G223" i="1"/>
  <c r="F227" i="1" s="1"/>
  <c r="F229" i="1" s="1"/>
  <c r="G216" i="1"/>
  <c r="G220" i="1"/>
  <c r="G210" i="1"/>
  <c r="E70" i="1"/>
  <c r="F246" i="1" l="1"/>
  <c r="F232" i="1"/>
  <c r="E232" i="1"/>
  <c r="G229" i="1"/>
  <c r="E68" i="1"/>
  <c r="E67" i="1"/>
  <c r="E65" i="1"/>
  <c r="E64" i="1"/>
  <c r="G232" i="1" l="1"/>
  <c r="E62" i="1"/>
  <c r="E61" i="1"/>
  <c r="E59" i="1" l="1"/>
  <c r="E58" i="1"/>
  <c r="E56" i="1"/>
  <c r="E55" i="1"/>
  <c r="E53" i="1"/>
  <c r="E52" i="1"/>
  <c r="C43" i="1"/>
  <c r="D43" i="1"/>
  <c r="D45" i="1" s="1"/>
  <c r="D48" i="1" s="1"/>
  <c r="D51" i="1" s="1"/>
  <c r="D54" i="1" s="1"/>
  <c r="D57" i="1" s="1"/>
  <c r="D60" i="1" s="1"/>
  <c r="D63" i="1" s="1"/>
  <c r="D66" i="1" s="1"/>
  <c r="D69" i="1" s="1"/>
  <c r="D72" i="1" s="1"/>
  <c r="D75" i="1" s="1"/>
  <c r="D79" i="1" s="1"/>
  <c r="D82" i="1" s="1"/>
  <c r="D87" i="1" s="1"/>
  <c r="D91" i="1" s="1"/>
  <c r="D97" i="1" s="1"/>
  <c r="E49" i="1"/>
  <c r="E50" i="1"/>
  <c r="C45" i="1" l="1"/>
  <c r="C48" i="1" s="1"/>
  <c r="C51" i="1" s="1"/>
  <c r="C54" i="1" s="1"/>
  <c r="C57" i="1" s="1"/>
  <c r="C60" i="1" s="1"/>
  <c r="C63" i="1" s="1"/>
  <c r="C66" i="1" s="1"/>
  <c r="C69" i="1" s="1"/>
  <c r="C72" i="1" s="1"/>
  <c r="C75" i="1" s="1"/>
  <c r="C79" i="1" s="1"/>
  <c r="C82" i="1" s="1"/>
  <c r="C87" i="1" s="1"/>
  <c r="C91" i="1" s="1"/>
  <c r="C97" i="1" s="1"/>
  <c r="C102" i="1" s="1"/>
  <c r="C104" i="1" s="1"/>
  <c r="C110" i="1" s="1"/>
  <c r="D102" i="1"/>
  <c r="D104" i="1" s="1"/>
  <c r="D110" i="1" s="1"/>
  <c r="D117" i="1" s="1"/>
  <c r="D123" i="1" s="1"/>
  <c r="D131" i="1" s="1"/>
  <c r="E47" i="1"/>
  <c r="E46" i="1"/>
  <c r="E43" i="1"/>
  <c r="E42" i="1"/>
  <c r="C27" i="1"/>
  <c r="E45" i="1" l="1"/>
  <c r="D139" i="1"/>
  <c r="D146" i="1" s="1"/>
  <c r="C117" i="1"/>
  <c r="C123" i="1" s="1"/>
  <c r="C131" i="1" s="1"/>
  <c r="C139" i="1" s="1"/>
  <c r="C146" i="1" s="1"/>
  <c r="C148" i="1" s="1"/>
  <c r="G42" i="1"/>
  <c r="E29" i="1"/>
  <c r="E48" i="1" l="1"/>
  <c r="G48" i="1" s="1"/>
  <c r="G45" i="1"/>
  <c r="I45" i="1" s="1"/>
  <c r="D148" i="1"/>
  <c r="E36" i="1"/>
  <c r="G36" i="1" s="1"/>
  <c r="D6" i="1"/>
  <c r="E8" i="1"/>
  <c r="G8" i="1" s="1"/>
  <c r="I8" i="1" s="1"/>
  <c r="E27" i="1"/>
  <c r="E28" i="1"/>
  <c r="E30" i="1"/>
  <c r="D9" i="1"/>
  <c r="D14" i="1" s="1"/>
  <c r="D17" i="1"/>
  <c r="C9" i="1"/>
  <c r="C14" i="1" s="1"/>
  <c r="C6" i="1"/>
  <c r="E51" i="1" l="1"/>
  <c r="E54" i="1" s="1"/>
  <c r="E57" i="1" s="1"/>
  <c r="G57" i="1" s="1"/>
  <c r="E148" i="1"/>
  <c r="E14" i="1"/>
  <c r="G14" i="1" s="1"/>
  <c r="I14" i="1" s="1"/>
  <c r="C18" i="1"/>
  <c r="C22" i="1" s="1"/>
  <c r="C26" i="1" s="1"/>
  <c r="C35" i="1" s="1"/>
  <c r="C37" i="1" s="1"/>
  <c r="E6" i="1"/>
  <c r="G6" i="1" s="1"/>
  <c r="I6" i="1" s="1"/>
  <c r="D18" i="1"/>
  <c r="D22" i="1" s="1"/>
  <c r="G51" i="1" l="1"/>
  <c r="E60" i="1"/>
  <c r="E63" i="1" s="1"/>
  <c r="E66" i="1" s="1"/>
  <c r="E69" i="1" s="1"/>
  <c r="G69" i="1" s="1"/>
  <c r="G54" i="1"/>
  <c r="E22" i="1"/>
  <c r="G22" i="1" s="1"/>
  <c r="I22" i="1" s="1"/>
  <c r="D26" i="1"/>
  <c r="E18" i="1"/>
  <c r="G18" i="1" s="1"/>
  <c r="I18" i="1" s="1"/>
  <c r="G60" i="1" l="1"/>
  <c r="G63" i="1"/>
  <c r="G66" i="1"/>
  <c r="E72" i="1"/>
  <c r="E75" i="1" s="1"/>
  <c r="E79" i="1" s="1"/>
  <c r="E82" i="1" s="1"/>
  <c r="E87" i="1" s="1"/>
  <c r="E91" i="1" s="1"/>
  <c r="G91" i="1" s="1"/>
  <c r="D35" i="1"/>
  <c r="D37" i="1" s="1"/>
  <c r="E37" i="1" s="1"/>
  <c r="E26" i="1"/>
  <c r="G75" i="1" l="1"/>
  <c r="G79" i="1"/>
  <c r="E97" i="1"/>
  <c r="E102" i="1" s="1"/>
  <c r="G72" i="1"/>
  <c r="E35" i="1"/>
  <c r="G35" i="1" s="1"/>
  <c r="G26" i="1"/>
  <c r="I26" i="1" s="1"/>
  <c r="G97" i="1" l="1"/>
  <c r="E104" i="1"/>
  <c r="E110" i="1" s="1"/>
  <c r="E117" i="1" s="1"/>
  <c r="G102" i="1"/>
  <c r="G82" i="1"/>
  <c r="G87" i="1"/>
  <c r="I35" i="1"/>
  <c r="H36" i="1"/>
  <c r="G117" i="1" l="1"/>
  <c r="E123" i="1"/>
  <c r="G104" i="1"/>
  <c r="E131" i="1" l="1"/>
  <c r="G123" i="1"/>
  <c r="G110" i="1"/>
  <c r="E139" i="1" l="1"/>
  <c r="E146" i="1" s="1"/>
  <c r="G131" i="1"/>
  <c r="G146" i="1" l="1"/>
  <c r="G148" i="1" s="1"/>
  <c r="G139" i="1"/>
  <c r="G165" i="1"/>
  <c r="F241" i="1" l="1"/>
  <c r="G241" i="1" s="1"/>
</calcChain>
</file>

<file path=xl/sharedStrings.xml><?xml version="1.0" encoding="utf-8"?>
<sst xmlns="http://schemas.openxmlformats.org/spreadsheetml/2006/main" count="363" uniqueCount="180">
  <si>
    <t>RD2035 Cash Reconciliation</t>
  </si>
  <si>
    <t>WD</t>
  </si>
  <si>
    <t>MO</t>
  </si>
  <si>
    <t>County</t>
  </si>
  <si>
    <t>Difference</t>
  </si>
  <si>
    <t>Disbursements</t>
  </si>
  <si>
    <t>Disbursements not coded to cash</t>
  </si>
  <si>
    <t>Disbursements coded to cash</t>
  </si>
  <si>
    <t>Deposits not entered in CYMA</t>
  </si>
  <si>
    <t>Cal Choice Disbursement - County</t>
  </si>
  <si>
    <t>Beginning Balance</t>
  </si>
  <si>
    <t>Deposits entered in CYMA</t>
  </si>
  <si>
    <t>Culligan Error recorded in Apr</t>
  </si>
  <si>
    <t>Deposits  &amp; JE's recorded</t>
  </si>
  <si>
    <t>Audit Adjustments</t>
  </si>
  <si>
    <t>County reversed 6/30 A/P</t>
  </si>
  <si>
    <t>County JE6397 Expense Reimb</t>
  </si>
  <si>
    <t>(not recorded in CYMA)</t>
  </si>
  <si>
    <t>Cheyenne Rogers Pmt not recorded in June</t>
  </si>
  <si>
    <t>Audited Financials</t>
  </si>
  <si>
    <t>Deposit recorded by County not in CYMA</t>
  </si>
  <si>
    <t>Interest from Oct - June posted and reversed but not reposted -154.99</t>
  </si>
  <si>
    <t>Interest reversed in CYMA not reposted</t>
  </si>
  <si>
    <t xml:space="preserve">Deposits   </t>
  </si>
  <si>
    <t>Cash Disbursements</t>
  </si>
  <si>
    <t>County JE6397 Expense Reimb???</t>
  </si>
  <si>
    <t>Deposits</t>
  </si>
  <si>
    <t>Deposits &amp; JE to add back Ck voided 2x</t>
  </si>
  <si>
    <t xml:space="preserve">Deposits </t>
  </si>
  <si>
    <t>CYMA Cash Balance</t>
  </si>
  <si>
    <t>Audited Financials CYMA Cash Balances</t>
  </si>
  <si>
    <t>CYMA  Cash Balance</t>
  </si>
  <si>
    <t>July Deposits posted in Aug in the County</t>
  </si>
  <si>
    <t>Disbursements Posted in CYMA After 8/31/15</t>
  </si>
  <si>
    <t>Sept Deposits posted In August in CYMA</t>
  </si>
  <si>
    <t>Audit Adjustments to Cash</t>
  </si>
  <si>
    <t xml:space="preserve">Cash Disbursements </t>
  </si>
  <si>
    <t>Deposits in CYMA</t>
  </si>
  <si>
    <t>Sept Deposit posted in Oct in the County</t>
  </si>
  <si>
    <t>Jul-Sept Interest</t>
  </si>
  <si>
    <t>Oct Interest</t>
  </si>
  <si>
    <t>Cash Balance</t>
  </si>
  <si>
    <t>Oct Deposit posted in Nov in the County</t>
  </si>
  <si>
    <t>Cash Disbursement</t>
  </si>
  <si>
    <t>Dec Deposit posted in Jan in the County</t>
  </si>
  <si>
    <t>Jan Deposit posted Feb in the County</t>
  </si>
  <si>
    <t>Jan Disbursements posted in February</t>
  </si>
  <si>
    <t>Error in posting CK9464358 - PGE</t>
  </si>
  <si>
    <t>JE's posted by County not in CYMA</t>
  </si>
  <si>
    <t>PGE Disbursement not recorded in CYMA until Feb</t>
  </si>
  <si>
    <t xml:space="preserve">PGE Disbursement not recorded in CYMA   </t>
  </si>
  <si>
    <t>Feb Disb posted in Cty - CYMA in March</t>
  </si>
  <si>
    <t>FPC Financial disbursement not recorded in CYMA</t>
  </si>
  <si>
    <t>Refund of Snap-on-Tools ck</t>
  </si>
  <si>
    <t>PG&amp;E &amp; Western Water not entered in CYMA</t>
  </si>
  <si>
    <t>Investment Intererst not entered in CYMA</t>
  </si>
  <si>
    <t xml:space="preserve">Reverse March Interest </t>
  </si>
  <si>
    <t>Magenheimer Check Returned</t>
  </si>
  <si>
    <t>Investment Interest not entered in CYMA</t>
  </si>
  <si>
    <t>Deposit not entered in CYMA until 6/1/16</t>
  </si>
  <si>
    <t xml:space="preserve">Disbursements Posted In CYMA  </t>
  </si>
  <si>
    <t>PGE Disbursement inv. Posted in June in CYMA</t>
  </si>
  <si>
    <t>PGE pd Invoice not entered in CYMA</t>
  </si>
  <si>
    <t>Disbursements not posted in CYMA until 6/1</t>
  </si>
  <si>
    <t>Kronick Disbursement not on County until 5/16</t>
  </si>
  <si>
    <t>June Deposits</t>
  </si>
  <si>
    <t>June Deposit not entered in CYMA - PGE</t>
  </si>
  <si>
    <t>CYMA Reports</t>
  </si>
  <si>
    <t>Mar Deposit entered in CYMA in Feb</t>
  </si>
  <si>
    <t>26719.62 County A/P Accrual</t>
  </si>
  <si>
    <t>CSDA Disbursement posted in Dec in CYMA</t>
  </si>
  <si>
    <t>All corrections made in CYMA</t>
  </si>
  <si>
    <t>July Disbursements</t>
  </si>
  <si>
    <t>Interest Posted by County at 6/30/16</t>
  </si>
  <si>
    <t>Cash Balance CYMA</t>
  </si>
  <si>
    <t>August Disbursements</t>
  </si>
  <si>
    <t>August Deposits</t>
  </si>
  <si>
    <t>Difference between funds (A/P Accrual 6/30/15)</t>
  </si>
  <si>
    <t>September Disbursements</t>
  </si>
  <si>
    <t>September Deposit</t>
  </si>
  <si>
    <t>July Deposits  (77144.50 belongs to CPG)</t>
  </si>
  <si>
    <t>October Disbursement</t>
  </si>
  <si>
    <t>June 2016 AP Clean up</t>
  </si>
  <si>
    <t>November Disbursement</t>
  </si>
  <si>
    <t>Total Available Funds</t>
  </si>
  <si>
    <t>November Deposit</t>
  </si>
  <si>
    <t>Investment Interest  entered in CYMA</t>
  </si>
  <si>
    <t>Cash Disbrusements</t>
  </si>
  <si>
    <t>Deposit</t>
  </si>
  <si>
    <t>PY Cash Balance Correction per audit</t>
  </si>
  <si>
    <t>Interest Posted by County at 1/1/17</t>
  </si>
  <si>
    <t>2/17</t>
  </si>
  <si>
    <t>4/17</t>
  </si>
  <si>
    <t xml:space="preserve">3/17 </t>
  </si>
  <si>
    <t>3/17</t>
  </si>
  <si>
    <t>February Cash Balance</t>
  </si>
  <si>
    <t>March Cash Balance</t>
  </si>
  <si>
    <t>April Cash Balance</t>
  </si>
  <si>
    <t>5/17</t>
  </si>
  <si>
    <t>CPG 77144.50 &amp; July Deposits posted in Cty in August</t>
  </si>
  <si>
    <t>County Balance</t>
  </si>
  <si>
    <t>Posted in Cty in September - $100,695.54</t>
  </si>
  <si>
    <t>AT&amp;T 147.30 Mholland 2397.32 Employers 2540.43</t>
  </si>
  <si>
    <t>May Cash Balance</t>
  </si>
  <si>
    <t>Less:  Reserves</t>
  </si>
  <si>
    <t>Interest Posted by County at 3/31/17</t>
  </si>
  <si>
    <t>Net Cash at 6/30/17</t>
  </si>
  <si>
    <t>Outstanding A/P as of 5/31/17</t>
  </si>
  <si>
    <t>Anticipated Expenses 1st qtr 2017/2018</t>
  </si>
  <si>
    <t>Due to RD2035 from CPG through 6/30/17</t>
  </si>
  <si>
    <t>Need to borrow reserves 6/1/17</t>
  </si>
  <si>
    <t>17/18 M&amp;O Assessment +5%</t>
  </si>
  <si>
    <t>Repay reserves</t>
  </si>
  <si>
    <t>CPG Reimbursements through 6/30/17 (M&amp;O) Estimate</t>
  </si>
  <si>
    <t>Anticipated Expenses 6/17</t>
  </si>
  <si>
    <t>Gravel Grant CPG Reimb 50%</t>
  </si>
  <si>
    <t>Remainder of M&amp;O 16/17 Billing (w/o CPG)</t>
  </si>
  <si>
    <t>Flood Fight Reimbursement</t>
  </si>
  <si>
    <t>Custom Farming Due to RD2035 from CPG through 6/30/17</t>
  </si>
  <si>
    <t>CPG Reimbursements through 6/30/17 (WD) Estimate</t>
  </si>
  <si>
    <t>Refunds due for ppd Preventative Planning</t>
  </si>
  <si>
    <t>Net Cash Available</t>
  </si>
  <si>
    <t>M&amp;O Cash Flow - through 1st Qtr 2017/2018 (Sept 2017)</t>
  </si>
  <si>
    <t>WD Cash Flow - through 1st Qtr 2017/2018 (Sept 2017)</t>
  </si>
  <si>
    <t>17/18 Farm Income (2nd Installments - Due July)</t>
  </si>
  <si>
    <r>
      <t xml:space="preserve">Net Cash Balance as of 5/31/17 </t>
    </r>
    <r>
      <rPr>
        <sz val="11"/>
        <color rgb="FFFF0000"/>
        <rFont val="Calibri"/>
        <family val="2"/>
        <scheme val="minor"/>
      </rPr>
      <t>(see 1st tab)</t>
    </r>
  </si>
  <si>
    <t>Net available cash at 9/30/17 (WD Fund)</t>
  </si>
  <si>
    <t>Net available cash at 9/30/17 (MO Fund)</t>
  </si>
  <si>
    <t>*</t>
  </si>
  <si>
    <t xml:space="preserve">* The beginning cash balance is the actual cash available to spend.  </t>
  </si>
  <si>
    <t xml:space="preserve">If the trend goes as anticipated by June 30 the District will in the red </t>
  </si>
  <si>
    <t>Beeman Water (if able to plant) &amp; Magenheimer 13-3</t>
  </si>
  <si>
    <t xml:space="preserve">    Does not include the Reserves and the Sinking Fund $'s</t>
  </si>
  <si>
    <t>Combined Cash Balance (Running Balance)</t>
  </si>
  <si>
    <t xml:space="preserve">even AFTER borrowing the reserve $$'s.  </t>
  </si>
  <si>
    <t>6/17</t>
  </si>
  <si>
    <t>Move reserves (approved at 6/6/17 Board Mtg)</t>
  </si>
  <si>
    <t>June Cash Balance</t>
  </si>
  <si>
    <t>7/17</t>
  </si>
  <si>
    <t>Less:  Sinking Fund 3 years</t>
  </si>
  <si>
    <t>Interest Posted by County at 6/30/17</t>
  </si>
  <si>
    <t>July Cash Balance</t>
  </si>
  <si>
    <t>8/17</t>
  </si>
  <si>
    <t>August Cash Balance</t>
  </si>
  <si>
    <t xml:space="preserve">o/s Deposit </t>
  </si>
  <si>
    <t>9/17</t>
  </si>
  <si>
    <t>ok</t>
  </si>
  <si>
    <t>September Cash Balance</t>
  </si>
  <si>
    <t>10/17</t>
  </si>
  <si>
    <t>October Cash Balance</t>
  </si>
  <si>
    <t>October Deposit</t>
  </si>
  <si>
    <t>11/17</t>
  </si>
  <si>
    <t xml:space="preserve">                                                                                            </t>
  </si>
  <si>
    <t>November Cash Balance</t>
  </si>
  <si>
    <t>12/17</t>
  </si>
  <si>
    <t>December Disbursements</t>
  </si>
  <si>
    <t>9/30/17 Interest Posted by County</t>
  </si>
  <si>
    <t>December Deposits</t>
  </si>
  <si>
    <t>December Cash Balance</t>
  </si>
  <si>
    <t>1/18</t>
  </si>
  <si>
    <t>January Deposit</t>
  </si>
  <si>
    <t>January Disbursements</t>
  </si>
  <si>
    <t>January Cash Balance</t>
  </si>
  <si>
    <t>2/18</t>
  </si>
  <si>
    <t>February Disbursements</t>
  </si>
  <si>
    <t>12/31/17 Interest Posted by County</t>
  </si>
  <si>
    <t>Less:  Sinking Fund 1 years</t>
  </si>
  <si>
    <t>3/18</t>
  </si>
  <si>
    <t>March Deposits</t>
  </si>
  <si>
    <t>March Disbursements</t>
  </si>
  <si>
    <t>4/18</t>
  </si>
  <si>
    <t>April Disbursements</t>
  </si>
  <si>
    <t>April Deposit</t>
  </si>
  <si>
    <t>5/18</t>
  </si>
  <si>
    <t>May Disbursements</t>
  </si>
  <si>
    <t>May Deposit</t>
  </si>
  <si>
    <t>3/31/18 Interest Posted by County</t>
  </si>
  <si>
    <t>6/18</t>
  </si>
  <si>
    <t>Ideal Tractor pd 6/5 thru Cty</t>
  </si>
  <si>
    <t>June Disbursements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</si>
</sst>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55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2" borderId="0" xfId="0" applyFill="1"/>
    <xf numFmtId="4" fontId="0" fillId="0" borderId="0" xfId="0" applyNumberFormat="1"/>
    <xf numFmtId="164" fontId="0" fillId="2" borderId="0" xfId="0" applyNumberFormat="1" applyFill="1"/>
    <xf numFmtId="164" fontId="0" fillId="0" borderId="0" xfId="0" applyNumberFormat="1" applyFill="1"/>
    <xf numFmtId="14" fontId="0" fillId="0" borderId="0" xfId="0" applyNumberFormat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 applyFill="1"/>
    <xf numFmtId="0" fontId="0" fillId="0" borderId="0" xfId="0" applyFill="1"/>
    <xf numFmtId="0" fontId="2" fillId="0" borderId="0" xfId="0" applyFont="1" applyFill="1"/>
    <xf numFmtId="0" fontId="0" fillId="3" borderId="0" xfId="0" applyFill="1"/>
    <xf numFmtId="4" fontId="0" fillId="3" borderId="0" xfId="0" applyNumberFormat="1" applyFill="1"/>
    <xf numFmtId="0" fontId="0" fillId="4" borderId="0" xfId="0" applyFill="1"/>
    <xf numFmtId="14" fontId="0" fillId="2" borderId="0" xfId="0" applyNumberFormat="1" applyFill="1"/>
    <xf numFmtId="0" fontId="0" fillId="5" borderId="0" xfId="0" applyFill="1"/>
    <xf numFmtId="0" fontId="3" fillId="0" borderId="0" xfId="0" applyFont="1"/>
    <xf numFmtId="0" fontId="1" fillId="0" borderId="0" xfId="0" applyFont="1"/>
    <xf numFmtId="4" fontId="1" fillId="0" borderId="0" xfId="0" applyNumberFormat="1" applyFont="1"/>
    <xf numFmtId="0" fontId="4" fillId="0" borderId="0" xfId="0" applyFont="1"/>
    <xf numFmtId="164" fontId="0" fillId="4" borderId="0" xfId="0" applyNumberFormat="1" applyFill="1"/>
    <xf numFmtId="0" fontId="1" fillId="2" borderId="0" xfId="0" applyFont="1" applyFill="1"/>
    <xf numFmtId="4" fontId="1" fillId="2" borderId="0" xfId="0" applyNumberFormat="1" applyFont="1" applyFill="1"/>
    <xf numFmtId="4" fontId="1" fillId="2" borderId="2" xfId="0" applyNumberFormat="1" applyFont="1" applyFill="1" applyBorder="1"/>
    <xf numFmtId="14" fontId="0" fillId="0" borderId="0" xfId="0" applyNumberFormat="1" applyFill="1"/>
    <xf numFmtId="14" fontId="0" fillId="0" borderId="0" xfId="0" quotePrefix="1" applyNumberFormat="1" applyFill="1"/>
    <xf numFmtId="4" fontId="0" fillId="2" borderId="0" xfId="0" applyNumberFormat="1" applyFill="1"/>
    <xf numFmtId="14" fontId="0" fillId="2" borderId="0" xfId="0" quotePrefix="1" applyNumberFormat="1" applyFill="1"/>
    <xf numFmtId="0" fontId="3" fillId="0" borderId="0" xfId="0" applyFont="1" applyFill="1"/>
    <xf numFmtId="4" fontId="1" fillId="0" borderId="2" xfId="0" applyNumberFormat="1" applyFont="1" applyBorder="1"/>
    <xf numFmtId="0" fontId="5" fillId="0" borderId="1" xfId="0" applyFont="1" applyBorder="1"/>
    <xf numFmtId="4" fontId="0" fillId="0" borderId="0" xfId="0" applyNumberFormat="1" applyFill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4" fontId="0" fillId="4" borderId="0" xfId="0" applyNumberFormat="1" applyFill="1"/>
    <xf numFmtId="14" fontId="0" fillId="0" borderId="0" xfId="0" quotePrefix="1" applyNumberFormat="1" applyFill="1" applyBorder="1"/>
    <xf numFmtId="0" fontId="0" fillId="0" borderId="0" xfId="0" applyFill="1" applyBorder="1"/>
    <xf numFmtId="4" fontId="0" fillId="0" borderId="0" xfId="0" applyNumberFormat="1" applyFill="1" applyBorder="1"/>
    <xf numFmtId="0" fontId="3" fillId="0" borderId="0" xfId="0" applyFont="1" applyFill="1" applyBorder="1"/>
    <xf numFmtId="0" fontId="1" fillId="0" borderId="0" xfId="0" applyFont="1" applyFill="1" applyBorder="1"/>
    <xf numFmtId="4" fontId="0" fillId="0" borderId="0" xfId="0" applyNumberFormat="1" applyFill="1" applyBorder="1" applyAlignment="1">
      <alignment horizontal="center" wrapText="1"/>
    </xf>
    <xf numFmtId="44" fontId="0" fillId="0" borderId="0" xfId="1" applyFont="1"/>
    <xf numFmtId="4" fontId="0" fillId="2" borderId="0" xfId="0" applyNumberFormat="1" applyFill="1" applyBorder="1"/>
    <xf numFmtId="0" fontId="7" fillId="0" borderId="0" xfId="0" applyFont="1" applyFill="1" applyBorder="1"/>
    <xf numFmtId="14" fontId="0" fillId="2" borderId="0" xfId="0" quotePrefix="1" applyNumberFormat="1" applyFill="1" applyBorder="1"/>
    <xf numFmtId="0" fontId="0" fillId="2" borderId="0" xfId="0" applyFill="1" applyBorder="1"/>
    <xf numFmtId="4" fontId="3" fillId="0" borderId="0" xfId="0" applyNumberFormat="1" applyFont="1" applyFill="1"/>
    <xf numFmtId="0" fontId="7" fillId="2" borderId="0" xfId="0" applyFont="1" applyFill="1" applyBorder="1"/>
    <xf numFmtId="0" fontId="3" fillId="2" borderId="0" xfId="0" applyFont="1" applyFill="1" applyBorder="1"/>
    <xf numFmtId="0" fontId="0" fillId="2" borderId="0" xfId="0" applyFont="1" applyFill="1"/>
    <xf numFmtId="0" fontId="0" fillId="0" borderId="0" xfId="0" applyFont="1" applyFill="1"/>
    <xf numFmtId="0" fontId="0" fillId="0" borderId="0" xfId="0" quotePrefix="1"/>
    <xf numFmtId="43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64"/>
  <sheetViews>
    <sheetView tabSelected="1" topLeftCell="A223" workbookViewId="0">
      <selection activeCell="C259" sqref="C259"/>
    </sheetView>
  </sheetViews>
  <sheetFormatPr defaultRowHeight="14.4" x14ac:dyDescent="0.3"/>
  <cols>
    <col min="1" max="1" width="10.77734375" customWidth="1"/>
    <col min="2" max="2" width="43" customWidth="1"/>
    <col min="3" max="3" width="12.5546875" bestFit="1" customWidth="1"/>
    <col min="4" max="4" width="12.109375" bestFit="1" customWidth="1"/>
    <col min="5" max="5" width="11.77734375" bestFit="1" customWidth="1"/>
    <col min="6" max="6" width="14.44140625" style="6" customWidth="1"/>
    <col min="7" max="7" width="10.77734375" style="6" customWidth="1"/>
    <col min="8" max="8" width="12.77734375" customWidth="1"/>
    <col min="9" max="9" width="11.21875" customWidth="1"/>
    <col min="10" max="10" width="10" customWidth="1"/>
    <col min="11" max="11" width="10.77734375" bestFit="1" customWidth="1"/>
    <col min="13" max="13" width="1.77734375" customWidth="1"/>
    <col min="14" max="14" width="44.77734375" hidden="1" customWidth="1"/>
    <col min="15" max="15" width="16.5546875" customWidth="1"/>
    <col min="17" max="17" width="11.77734375" customWidth="1"/>
  </cols>
  <sheetData>
    <row r="1" spans="1:11" ht="15.6" x14ac:dyDescent="0.3">
      <c r="A1" s="22" t="s">
        <v>0</v>
      </c>
    </row>
    <row r="2" spans="1:11" x14ac:dyDescent="0.3">
      <c r="C2" s="3" t="s">
        <v>1</v>
      </c>
      <c r="D2" s="3" t="s">
        <v>2</v>
      </c>
      <c r="E2" s="3" t="s">
        <v>4</v>
      </c>
      <c r="F2" s="10" t="s">
        <v>3</v>
      </c>
      <c r="G2" s="10" t="s">
        <v>4</v>
      </c>
      <c r="H2" s="4"/>
      <c r="I2" s="4"/>
      <c r="J2" s="4"/>
    </row>
    <row r="3" spans="1:11" hidden="1" x14ac:dyDescent="0.3">
      <c r="A3" s="1">
        <v>41640</v>
      </c>
      <c r="C3" s="2">
        <v>-234485.28</v>
      </c>
      <c r="D3" s="2">
        <v>261492.41</v>
      </c>
      <c r="E3" s="2"/>
      <c r="H3" s="2"/>
      <c r="I3" s="2"/>
      <c r="J3" s="2"/>
    </row>
    <row r="4" spans="1:11" hidden="1" x14ac:dyDescent="0.3">
      <c r="A4" s="1"/>
      <c r="B4" t="s">
        <v>11</v>
      </c>
      <c r="C4" s="2">
        <v>167913.75</v>
      </c>
      <c r="D4" s="2"/>
      <c r="E4" s="2"/>
      <c r="H4" s="2"/>
      <c r="I4" s="2"/>
      <c r="J4" s="2"/>
    </row>
    <row r="5" spans="1:11" hidden="1" x14ac:dyDescent="0.3">
      <c r="A5" s="1"/>
      <c r="B5" t="s">
        <v>5</v>
      </c>
      <c r="C5" s="2">
        <v>-135514.96</v>
      </c>
      <c r="D5" s="2">
        <v>-15022.28</v>
      </c>
      <c r="E5" s="2"/>
      <c r="H5" s="2"/>
      <c r="I5" s="2"/>
      <c r="J5" s="2"/>
    </row>
    <row r="6" spans="1:11" hidden="1" x14ac:dyDescent="0.3">
      <c r="A6" s="1"/>
      <c r="B6" t="s">
        <v>29</v>
      </c>
      <c r="C6" s="2">
        <f>SUM(C3:C5)</f>
        <v>-202086.49</v>
      </c>
      <c r="D6" s="2">
        <f>SUM(D3:D5)</f>
        <v>246470.13</v>
      </c>
      <c r="E6" s="2">
        <f>SUM(C6:D6)</f>
        <v>44383.640000000014</v>
      </c>
      <c r="F6" s="6">
        <v>45828.04</v>
      </c>
      <c r="G6" s="6">
        <f>F6-E6</f>
        <v>1444.3999999999869</v>
      </c>
      <c r="H6" s="2">
        <v>1444.31</v>
      </c>
      <c r="I6" s="2">
        <f>H6-G6</f>
        <v>-8.9999999986957846E-2</v>
      </c>
      <c r="J6" s="2"/>
    </row>
    <row r="7" spans="1:11" hidden="1" x14ac:dyDescent="0.3">
      <c r="A7" s="1"/>
      <c r="C7" s="2"/>
      <c r="D7" s="2"/>
      <c r="E7" s="2"/>
      <c r="H7" s="2"/>
      <c r="I7" s="2"/>
      <c r="J7" s="2"/>
    </row>
    <row r="8" spans="1:11" hidden="1" x14ac:dyDescent="0.3">
      <c r="A8" s="1">
        <v>41671</v>
      </c>
      <c r="B8" t="s">
        <v>10</v>
      </c>
      <c r="C8" s="2">
        <v>-202086.49</v>
      </c>
      <c r="D8" s="2">
        <v>246470.13</v>
      </c>
      <c r="E8" s="2">
        <f>D8+C8</f>
        <v>44383.640000000014</v>
      </c>
      <c r="F8" s="6">
        <v>45828.04</v>
      </c>
      <c r="G8" s="6">
        <f>E8-F8</f>
        <v>-1444.3999999999869</v>
      </c>
      <c r="H8" s="2">
        <v>1444.31</v>
      </c>
      <c r="I8" s="2">
        <f>G8+H8</f>
        <v>-8.9999999986957846E-2</v>
      </c>
      <c r="J8" s="2"/>
      <c r="K8" s="2"/>
    </row>
    <row r="9" spans="1:11" hidden="1" x14ac:dyDescent="0.3">
      <c r="B9" t="s">
        <v>8</v>
      </c>
      <c r="C9" s="2">
        <f>240.19</f>
        <v>240.19</v>
      </c>
      <c r="D9" s="2">
        <f>433.21+27.54</f>
        <v>460.75</v>
      </c>
      <c r="E9" s="2"/>
      <c r="H9" s="2"/>
      <c r="K9" s="2"/>
    </row>
    <row r="10" spans="1:11" hidden="1" x14ac:dyDescent="0.3">
      <c r="B10" t="s">
        <v>6</v>
      </c>
      <c r="C10" s="2">
        <v>-14894</v>
      </c>
      <c r="D10" s="2">
        <v>-9109.23</v>
      </c>
      <c r="E10" s="2"/>
      <c r="H10" s="2"/>
      <c r="K10" s="2"/>
    </row>
    <row r="11" spans="1:11" hidden="1" x14ac:dyDescent="0.3">
      <c r="B11" t="s">
        <v>7</v>
      </c>
      <c r="C11" s="2">
        <v>-5919.82</v>
      </c>
      <c r="D11" s="2">
        <v>-849.45</v>
      </c>
      <c r="E11" s="2"/>
      <c r="H11" s="2"/>
      <c r="K11" s="2"/>
    </row>
    <row r="12" spans="1:11" hidden="1" x14ac:dyDescent="0.3">
      <c r="B12" t="s">
        <v>9</v>
      </c>
      <c r="C12" s="2"/>
      <c r="D12" s="2">
        <v>-2063.6</v>
      </c>
      <c r="E12" s="2"/>
      <c r="H12" s="2"/>
      <c r="K12" s="2"/>
    </row>
    <row r="13" spans="1:11" hidden="1" x14ac:dyDescent="0.3">
      <c r="C13" s="2"/>
      <c r="D13" s="2"/>
      <c r="E13" s="2"/>
      <c r="H13" s="2"/>
      <c r="K13" s="2"/>
    </row>
    <row r="14" spans="1:11" hidden="1" x14ac:dyDescent="0.3">
      <c r="A14" s="1">
        <v>41698</v>
      </c>
      <c r="B14" t="s">
        <v>29</v>
      </c>
      <c r="C14" s="2">
        <f>SUM(C8:C11)</f>
        <v>-222660.12</v>
      </c>
      <c r="D14" s="2">
        <f>SUM(D8:D13)</f>
        <v>234908.59999999998</v>
      </c>
      <c r="E14" s="2">
        <f>SUM(C14:D14)</f>
        <v>12248.479999999981</v>
      </c>
      <c r="F14" s="6">
        <v>13692.88</v>
      </c>
      <c r="G14" s="6">
        <f>E14-F14</f>
        <v>-1444.4000000000178</v>
      </c>
      <c r="H14" s="2">
        <v>1444.31</v>
      </c>
      <c r="I14" s="2">
        <f>G14+H14</f>
        <v>-9.0000000017880666E-2</v>
      </c>
      <c r="K14" s="2"/>
    </row>
    <row r="15" spans="1:11" hidden="1" x14ac:dyDescent="0.3">
      <c r="B15" t="s">
        <v>8</v>
      </c>
      <c r="C15" s="2"/>
      <c r="D15" s="2">
        <v>70688.75</v>
      </c>
      <c r="E15" s="2"/>
      <c r="H15" s="2"/>
      <c r="K15" s="2"/>
    </row>
    <row r="16" spans="1:11" hidden="1" x14ac:dyDescent="0.3">
      <c r="B16" t="s">
        <v>6</v>
      </c>
      <c r="C16" s="2">
        <v>-1821.89</v>
      </c>
      <c r="D16" s="2">
        <v>-20.18</v>
      </c>
      <c r="E16" s="2"/>
      <c r="H16" s="2"/>
      <c r="K16" s="2"/>
    </row>
    <row r="17" spans="1:11" hidden="1" x14ac:dyDescent="0.3">
      <c r="B17" t="s">
        <v>7</v>
      </c>
      <c r="C17" s="2">
        <v>-39670.949999999997</v>
      </c>
      <c r="D17" s="2">
        <f>-4107.27</f>
        <v>-4107.2700000000004</v>
      </c>
      <c r="E17" s="2"/>
      <c r="H17" s="2"/>
      <c r="K17" s="2"/>
    </row>
    <row r="18" spans="1:11" hidden="1" x14ac:dyDescent="0.3">
      <c r="A18" s="1">
        <v>41729</v>
      </c>
      <c r="B18" t="s">
        <v>29</v>
      </c>
      <c r="C18" s="2">
        <f>SUM(C14:C17)</f>
        <v>-264152.96000000002</v>
      </c>
      <c r="D18" s="2">
        <f>SUM(D14:D17)</f>
        <v>301469.89999999997</v>
      </c>
      <c r="E18" s="2">
        <f>D18+C18</f>
        <v>37316.939999999944</v>
      </c>
      <c r="F18" s="6">
        <v>38761.339999999997</v>
      </c>
      <c r="G18" s="6">
        <f>F18-E18</f>
        <v>1444.4000000000524</v>
      </c>
      <c r="H18" s="2">
        <v>1444.31</v>
      </c>
      <c r="I18" s="2">
        <f>H18-G18</f>
        <v>-9.0000000052441465E-2</v>
      </c>
      <c r="K18" s="2"/>
    </row>
    <row r="19" spans="1:11" hidden="1" x14ac:dyDescent="0.3">
      <c r="B19" t="s">
        <v>8</v>
      </c>
      <c r="C19" s="2">
        <v>69.489999999999995</v>
      </c>
      <c r="D19" s="2">
        <v>70668.75</v>
      </c>
      <c r="E19" s="2"/>
      <c r="H19" s="2"/>
      <c r="K19" s="2"/>
    </row>
    <row r="20" spans="1:11" hidden="1" x14ac:dyDescent="0.3">
      <c r="B20" t="s">
        <v>5</v>
      </c>
      <c r="C20" s="2">
        <v>-52668.42</v>
      </c>
      <c r="D20" s="2">
        <v>-29995.88</v>
      </c>
      <c r="E20" s="2"/>
      <c r="H20" s="2"/>
      <c r="K20" s="2"/>
    </row>
    <row r="21" spans="1:11" hidden="1" x14ac:dyDescent="0.3">
      <c r="B21" t="s">
        <v>12</v>
      </c>
      <c r="C21" s="2">
        <v>20.18</v>
      </c>
      <c r="D21" s="2"/>
      <c r="E21" s="2"/>
      <c r="H21" s="2"/>
      <c r="K21" s="2"/>
    </row>
    <row r="22" spans="1:11" hidden="1" x14ac:dyDescent="0.3">
      <c r="A22" s="1">
        <v>41759</v>
      </c>
      <c r="B22" t="s">
        <v>29</v>
      </c>
      <c r="C22" s="2">
        <f>SUM(C18:C21)</f>
        <v>-316731.71000000002</v>
      </c>
      <c r="D22" s="2">
        <f>SUM(D18:D20)</f>
        <v>342142.76999999996</v>
      </c>
      <c r="E22" s="2">
        <f>D22+C22</f>
        <v>25411.059999999939</v>
      </c>
      <c r="F22" s="6">
        <v>26855.279999999999</v>
      </c>
      <c r="G22" s="6">
        <f>F22-E22</f>
        <v>1444.2200000000594</v>
      </c>
      <c r="H22" s="2">
        <v>1444.31</v>
      </c>
      <c r="I22" s="2">
        <f>G22-H22</f>
        <v>-8.9999999940573616E-2</v>
      </c>
      <c r="K22" s="2"/>
    </row>
    <row r="23" spans="1:11" hidden="1" x14ac:dyDescent="0.3">
      <c r="B23" t="s">
        <v>8</v>
      </c>
      <c r="C23" s="2">
        <v>158974.29999999999</v>
      </c>
      <c r="D23" s="2"/>
      <c r="E23" s="2"/>
      <c r="H23" s="2"/>
      <c r="I23" s="2"/>
      <c r="K23" s="2"/>
    </row>
    <row r="24" spans="1:11" hidden="1" x14ac:dyDescent="0.3">
      <c r="B24" t="s">
        <v>5</v>
      </c>
      <c r="C24" s="2">
        <v>-94307.22</v>
      </c>
      <c r="D24" s="2">
        <v>-33884.959999999999</v>
      </c>
      <c r="E24" s="2"/>
      <c r="H24" s="2"/>
      <c r="I24" s="2"/>
      <c r="K24" s="2"/>
    </row>
    <row r="25" spans="1:11" hidden="1" x14ac:dyDescent="0.3">
      <c r="C25" s="2"/>
      <c r="D25" s="2"/>
      <c r="E25" s="2"/>
      <c r="H25" s="2"/>
      <c r="I25" s="2"/>
      <c r="K25" s="2"/>
    </row>
    <row r="26" spans="1:11" hidden="1" x14ac:dyDescent="0.3">
      <c r="A26" s="1">
        <v>41790</v>
      </c>
      <c r="B26" t="s">
        <v>29</v>
      </c>
      <c r="C26" s="2">
        <f>SUM(C22:C24)</f>
        <v>-252064.63000000003</v>
      </c>
      <c r="D26" s="2">
        <f>SUM(D22:D24)</f>
        <v>308257.80999999994</v>
      </c>
      <c r="E26" s="2">
        <f>D26+C26</f>
        <v>56193.179999999906</v>
      </c>
      <c r="F26" s="6">
        <v>57637.4</v>
      </c>
      <c r="G26" s="6">
        <f>F26-E26</f>
        <v>1444.2200000000958</v>
      </c>
      <c r="H26" s="2">
        <v>1444.31</v>
      </c>
      <c r="I26" s="2">
        <f>G26-H26</f>
        <v>-8.9999999904193828E-2</v>
      </c>
      <c r="K26" s="2"/>
    </row>
    <row r="27" spans="1:11" hidden="1" x14ac:dyDescent="0.3">
      <c r="A27" s="1"/>
      <c r="B27" t="s">
        <v>13</v>
      </c>
      <c r="C27" s="2">
        <f>283811.29+174776+44200</f>
        <v>502787.29</v>
      </c>
      <c r="D27" s="2">
        <v>57.96</v>
      </c>
      <c r="E27" s="2">
        <f>SUM(C27:D27)</f>
        <v>502845.25</v>
      </c>
      <c r="H27" s="2"/>
      <c r="K27" s="2"/>
    </row>
    <row r="28" spans="1:11" hidden="1" x14ac:dyDescent="0.3">
      <c r="B28" t="s">
        <v>22</v>
      </c>
      <c r="C28" s="2"/>
      <c r="D28" s="2">
        <v>-154.99</v>
      </c>
      <c r="E28" s="2">
        <f>SUM(C28:D28)</f>
        <v>-154.99</v>
      </c>
      <c r="H28" s="2"/>
      <c r="K28" s="2"/>
    </row>
    <row r="29" spans="1:11" hidden="1" x14ac:dyDescent="0.3">
      <c r="B29" t="s">
        <v>20</v>
      </c>
      <c r="C29" s="2">
        <v>3492.5</v>
      </c>
      <c r="D29" s="2"/>
      <c r="E29" s="2">
        <f>SUM(C29:D29)</f>
        <v>3492.5</v>
      </c>
      <c r="H29" s="2"/>
      <c r="K29" s="2"/>
    </row>
    <row r="30" spans="1:11" hidden="1" x14ac:dyDescent="0.3">
      <c r="B30" t="s">
        <v>5</v>
      </c>
      <c r="C30" s="2">
        <v>-225306.41</v>
      </c>
      <c r="D30" s="2">
        <v>-55709.93</v>
      </c>
      <c r="E30" s="2">
        <f>SUM(C30:D30)</f>
        <v>-281016.34000000003</v>
      </c>
      <c r="H30" s="2"/>
      <c r="K30" s="2"/>
    </row>
    <row r="31" spans="1:11" hidden="1" x14ac:dyDescent="0.3">
      <c r="B31" t="s">
        <v>14</v>
      </c>
      <c r="C31" s="2"/>
      <c r="D31" s="2">
        <v>-174774.5</v>
      </c>
      <c r="E31" s="2">
        <v>-174774.5</v>
      </c>
      <c r="H31" s="2"/>
      <c r="K31" s="2"/>
    </row>
    <row r="32" spans="1:11" hidden="1" x14ac:dyDescent="0.3">
      <c r="B32" s="16" t="s">
        <v>15</v>
      </c>
      <c r="C32" s="23">
        <v>55364.27</v>
      </c>
      <c r="D32" s="23">
        <v>8924.17</v>
      </c>
      <c r="E32" s="23">
        <f>SUM(C32:D32)</f>
        <v>64288.439999999995</v>
      </c>
      <c r="H32" s="2"/>
      <c r="K32" s="2"/>
    </row>
    <row r="33" spans="1:11" hidden="1" x14ac:dyDescent="0.3">
      <c r="B33" s="5" t="s">
        <v>16</v>
      </c>
      <c r="C33" s="2"/>
      <c r="D33" s="2"/>
      <c r="E33" s="2"/>
      <c r="F33" s="6" t="s">
        <v>17</v>
      </c>
      <c r="H33" s="2"/>
      <c r="K33" s="2"/>
    </row>
    <row r="34" spans="1:11" hidden="1" x14ac:dyDescent="0.3">
      <c r="C34" s="2"/>
      <c r="D34" s="2"/>
      <c r="E34" s="2"/>
      <c r="H34" s="2"/>
      <c r="K34" s="2"/>
    </row>
    <row r="35" spans="1:11" hidden="1" x14ac:dyDescent="0.3">
      <c r="A35" s="1">
        <v>41820</v>
      </c>
      <c r="B35" t="s">
        <v>29</v>
      </c>
      <c r="C35" s="2">
        <f>SUM(C26:C33)</f>
        <v>84273.019999999931</v>
      </c>
      <c r="D35" s="2">
        <f>SUM(D26:D32)</f>
        <v>86600.519999999975</v>
      </c>
      <c r="E35" s="2">
        <f>SUM(E26:E33)</f>
        <v>170873.53999999992</v>
      </c>
      <c r="F35" s="6">
        <v>172335.47</v>
      </c>
      <c r="G35" s="6">
        <f>E35-F35</f>
        <v>-1461.9300000000803</v>
      </c>
      <c r="H35" s="2">
        <v>1444.31</v>
      </c>
      <c r="I35" s="2">
        <f>G35+H35</f>
        <v>-17.620000000080381</v>
      </c>
      <c r="K35" s="2"/>
    </row>
    <row r="36" spans="1:11" hidden="1" x14ac:dyDescent="0.3">
      <c r="A36" s="1"/>
      <c r="B36" t="s">
        <v>19</v>
      </c>
      <c r="C36" s="2">
        <v>77923.23</v>
      </c>
      <c r="D36" s="2">
        <v>93181.58</v>
      </c>
      <c r="E36" s="2">
        <f>SUM(C36:D36)</f>
        <v>171104.81</v>
      </c>
      <c r="F36" s="6">
        <v>172335.47</v>
      </c>
      <c r="G36" s="6">
        <f>F36-E36</f>
        <v>1230.6600000000035</v>
      </c>
      <c r="H36" s="2">
        <f>G36+G35</f>
        <v>-231.27000000007683</v>
      </c>
      <c r="I36" s="2"/>
      <c r="K36" s="2"/>
    </row>
    <row r="37" spans="1:11" hidden="1" x14ac:dyDescent="0.3">
      <c r="A37" s="1"/>
      <c r="C37" s="2">
        <f>C35-C36</f>
        <v>6349.7899999999354</v>
      </c>
      <c r="D37" s="2">
        <f>D35-D36</f>
        <v>-6581.0600000000268</v>
      </c>
      <c r="E37" s="2">
        <f>SUM(C37:D37)</f>
        <v>-231.27000000009139</v>
      </c>
      <c r="H37" s="2"/>
      <c r="I37" s="2"/>
      <c r="K37" s="2"/>
    </row>
    <row r="38" spans="1:11" hidden="1" x14ac:dyDescent="0.3">
      <c r="A38" s="1"/>
      <c r="B38" s="5" t="s">
        <v>21</v>
      </c>
      <c r="C38" s="7"/>
      <c r="D38" s="7"/>
      <c r="E38" s="2"/>
      <c r="H38" s="2"/>
      <c r="I38" s="2"/>
      <c r="K38" s="2"/>
    </row>
    <row r="39" spans="1:11" hidden="1" x14ac:dyDescent="0.3">
      <c r="B39" s="5" t="s">
        <v>25</v>
      </c>
      <c r="C39" s="7">
        <v>47498.76</v>
      </c>
      <c r="D39" s="2"/>
      <c r="E39" s="2"/>
      <c r="H39" s="2"/>
      <c r="I39" s="2"/>
      <c r="K39" s="2"/>
    </row>
    <row r="40" spans="1:11" hidden="1" x14ac:dyDescent="0.3">
      <c r="B40" s="5" t="s">
        <v>18</v>
      </c>
      <c r="C40" s="7">
        <v>3492.5</v>
      </c>
      <c r="D40" s="2"/>
      <c r="E40" s="2"/>
      <c r="H40" s="2"/>
      <c r="K40" s="2"/>
    </row>
    <row r="41" spans="1:11" hidden="1" x14ac:dyDescent="0.3">
      <c r="C41" s="2"/>
      <c r="D41" s="2"/>
      <c r="E41" s="2"/>
      <c r="H41" s="2"/>
      <c r="K41" s="2"/>
    </row>
    <row r="42" spans="1:11" hidden="1" x14ac:dyDescent="0.3">
      <c r="A42" s="1">
        <v>41821</v>
      </c>
      <c r="B42" t="s">
        <v>30</v>
      </c>
      <c r="C42" s="2">
        <v>77923.23</v>
      </c>
      <c r="D42" s="2">
        <v>93181.58</v>
      </c>
      <c r="E42" s="2">
        <f>SUM(C42:D42)</f>
        <v>171104.81</v>
      </c>
      <c r="F42" s="6">
        <v>172335.47</v>
      </c>
      <c r="G42" s="6">
        <f>F42-E42</f>
        <v>1230.6600000000035</v>
      </c>
      <c r="H42" s="2"/>
      <c r="K42" s="2"/>
    </row>
    <row r="43" spans="1:11" hidden="1" x14ac:dyDescent="0.3">
      <c r="B43" t="s">
        <v>27</v>
      </c>
      <c r="C43" s="2">
        <f>25063.5</f>
        <v>25063.5</v>
      </c>
      <c r="D43" s="2">
        <f>66.53+1444.31</f>
        <v>1510.84</v>
      </c>
      <c r="E43" s="2">
        <f t="shared" ref="E43" si="0">SUM(C43:D43)</f>
        <v>26574.34</v>
      </c>
      <c r="H43" s="2"/>
      <c r="K43" s="2"/>
    </row>
    <row r="44" spans="1:11" hidden="1" x14ac:dyDescent="0.3">
      <c r="B44" t="s">
        <v>5</v>
      </c>
      <c r="C44" s="2">
        <f>-108264.32</f>
        <v>-108264.32000000001</v>
      </c>
      <c r="D44" s="2">
        <f>-9057.47</f>
        <v>-9057.4699999999993</v>
      </c>
      <c r="E44" s="2">
        <f>SUM(C44:D44)</f>
        <v>-117321.79000000001</v>
      </c>
      <c r="H44" s="2"/>
      <c r="K44" s="2"/>
    </row>
    <row r="45" spans="1:11" hidden="1" x14ac:dyDescent="0.3">
      <c r="A45" s="1">
        <v>41851</v>
      </c>
      <c r="B45" t="s">
        <v>29</v>
      </c>
      <c r="C45" s="2">
        <f>SUM(C42:C44)</f>
        <v>-5277.5900000000111</v>
      </c>
      <c r="D45" s="2">
        <f>SUM(D42:D44)</f>
        <v>85634.95</v>
      </c>
      <c r="E45" s="2">
        <f>SUM(E42:E44)</f>
        <v>80357.359999999986</v>
      </c>
      <c r="F45" s="6">
        <v>15855.27</v>
      </c>
      <c r="G45" s="6">
        <f>E45-F45</f>
        <v>64502.089999999982</v>
      </c>
      <c r="H45" s="2">
        <v>64288.44</v>
      </c>
      <c r="I45" s="2">
        <f>G45-H45</f>
        <v>213.64999999997963</v>
      </c>
      <c r="K45" s="2"/>
    </row>
    <row r="46" spans="1:11" hidden="1" x14ac:dyDescent="0.3">
      <c r="B46" t="s">
        <v>23</v>
      </c>
      <c r="C46" s="2">
        <v>275987.25</v>
      </c>
      <c r="D46" s="2">
        <v>280123.67</v>
      </c>
      <c r="E46" s="2">
        <f>SUM(C46:D46)</f>
        <v>556110.91999999993</v>
      </c>
      <c r="H46" s="2"/>
    </row>
    <row r="47" spans="1:11" hidden="1" x14ac:dyDescent="0.3">
      <c r="B47" t="s">
        <v>24</v>
      </c>
      <c r="C47" s="2">
        <v>-410607.18</v>
      </c>
      <c r="D47" s="2">
        <v>-102224.21</v>
      </c>
      <c r="E47" s="2">
        <f>SUM(C47:D47)</f>
        <v>-512831.39</v>
      </c>
      <c r="H47" s="2"/>
    </row>
    <row r="48" spans="1:11" hidden="1" x14ac:dyDescent="0.3">
      <c r="A48" s="1">
        <v>41882</v>
      </c>
      <c r="B48" t="s">
        <v>31</v>
      </c>
      <c r="C48" s="2">
        <f>SUM(C45:C47)</f>
        <v>-139897.52000000002</v>
      </c>
      <c r="D48" s="2">
        <f>SUM(D45:D47)</f>
        <v>263534.40999999997</v>
      </c>
      <c r="E48" s="2">
        <f>SUM(E45:E47)</f>
        <v>123636.8899999999</v>
      </c>
      <c r="F48" s="6">
        <v>59134.8</v>
      </c>
      <c r="G48" s="6">
        <f>E48-F48</f>
        <v>64502.089999999895</v>
      </c>
    </row>
    <row r="49" spans="1:17" hidden="1" x14ac:dyDescent="0.3">
      <c r="B49" t="s">
        <v>26</v>
      </c>
      <c r="C49" s="2">
        <v>82326.39</v>
      </c>
      <c r="D49" s="2">
        <v>422640</v>
      </c>
      <c r="E49" s="2">
        <f>SUM(C49:D49)</f>
        <v>504966.39</v>
      </c>
    </row>
    <row r="50" spans="1:17" hidden="1" x14ac:dyDescent="0.3">
      <c r="B50" t="s">
        <v>24</v>
      </c>
      <c r="C50" s="2">
        <v>-190746.4</v>
      </c>
      <c r="D50" s="2">
        <v>-46264.09</v>
      </c>
      <c r="E50" s="2">
        <f>SUM(C50:D50)</f>
        <v>-237010.49</v>
      </c>
    </row>
    <row r="51" spans="1:17" hidden="1" x14ac:dyDescent="0.3">
      <c r="A51" s="1">
        <v>41912</v>
      </c>
      <c r="B51" t="s">
        <v>29</v>
      </c>
      <c r="C51" s="2">
        <f>SUM(C48:C50)</f>
        <v>-248317.53000000003</v>
      </c>
      <c r="D51" s="2">
        <f>SUM(D48:D50)</f>
        <v>639910.31999999995</v>
      </c>
      <c r="E51" s="2">
        <f>SUM(E48:E50)</f>
        <v>391592.78999999992</v>
      </c>
      <c r="F51" s="6">
        <v>327090.7</v>
      </c>
      <c r="G51" s="6">
        <f>E51-F51</f>
        <v>64502.089999999909</v>
      </c>
    </row>
    <row r="52" spans="1:17" hidden="1" x14ac:dyDescent="0.3">
      <c r="B52" t="s">
        <v>26</v>
      </c>
      <c r="C52" s="2"/>
      <c r="D52" s="2">
        <v>236582.83</v>
      </c>
      <c r="E52" s="2">
        <f>SUM(D52)</f>
        <v>236582.83</v>
      </c>
    </row>
    <row r="53" spans="1:17" hidden="1" x14ac:dyDescent="0.3">
      <c r="B53" t="s">
        <v>24</v>
      </c>
      <c r="C53" s="6">
        <v>-340615.84</v>
      </c>
      <c r="D53" s="2">
        <v>-116596.61</v>
      </c>
      <c r="E53" s="2">
        <f>SUM(C53:D53)</f>
        <v>-457212.45</v>
      </c>
    </row>
    <row r="54" spans="1:17" hidden="1" x14ac:dyDescent="0.3">
      <c r="A54" s="1">
        <v>41943</v>
      </c>
      <c r="B54" t="s">
        <v>29</v>
      </c>
      <c r="C54" s="2">
        <f>SUM(C51:C53)</f>
        <v>-588933.37000000011</v>
      </c>
      <c r="D54" s="2">
        <f>SUM(D51:D53)</f>
        <v>759896.53999999992</v>
      </c>
      <c r="E54" s="2">
        <f>SUM(E51:E53)</f>
        <v>170963.16999999987</v>
      </c>
      <c r="F54" s="6">
        <v>106461.08</v>
      </c>
      <c r="G54" s="6">
        <f>E54-F54</f>
        <v>64502.089999999866</v>
      </c>
    </row>
    <row r="55" spans="1:17" hidden="1" x14ac:dyDescent="0.3">
      <c r="B55" t="s">
        <v>26</v>
      </c>
      <c r="C55" s="6">
        <v>71367.5</v>
      </c>
      <c r="D55" s="2">
        <v>15199.95</v>
      </c>
      <c r="E55" s="6">
        <f t="shared" ref="E55:E59" si="1">SUM(C55:D55)</f>
        <v>86567.45</v>
      </c>
    </row>
    <row r="56" spans="1:17" hidden="1" x14ac:dyDescent="0.3">
      <c r="B56" t="s">
        <v>24</v>
      </c>
      <c r="C56" s="6">
        <v>-95967.58</v>
      </c>
      <c r="D56" s="2">
        <v>-30227.360000000001</v>
      </c>
      <c r="E56" s="6">
        <f t="shared" si="1"/>
        <v>-126194.94</v>
      </c>
    </row>
    <row r="57" spans="1:17" hidden="1" x14ac:dyDescent="0.3">
      <c r="A57" s="9">
        <v>41973</v>
      </c>
      <c r="B57" t="s">
        <v>29</v>
      </c>
      <c r="C57" s="6">
        <f>SUM(C54:C56)</f>
        <v>-613533.45000000007</v>
      </c>
      <c r="D57" s="6">
        <f>SUM(D54:D56)</f>
        <v>744869.12999999989</v>
      </c>
      <c r="E57" s="6">
        <f>SUM(E54:E56)</f>
        <v>131335.67999999988</v>
      </c>
      <c r="F57" s="6">
        <v>66833.59</v>
      </c>
      <c r="G57" s="6">
        <f>E57-F57</f>
        <v>64502.08999999988</v>
      </c>
    </row>
    <row r="58" spans="1:17" hidden="1" x14ac:dyDescent="0.3">
      <c r="B58" t="s">
        <v>26</v>
      </c>
      <c r="C58" s="6"/>
      <c r="D58" s="2">
        <v>289179.94</v>
      </c>
      <c r="E58" s="6">
        <f t="shared" si="1"/>
        <v>289179.94</v>
      </c>
    </row>
    <row r="59" spans="1:17" hidden="1" x14ac:dyDescent="0.3">
      <c r="B59" t="s">
        <v>24</v>
      </c>
      <c r="C59" s="6">
        <v>-147877</v>
      </c>
      <c r="D59" s="2">
        <v>-70759.960000000006</v>
      </c>
      <c r="E59" s="6">
        <f t="shared" si="1"/>
        <v>-218636.96000000002</v>
      </c>
    </row>
    <row r="60" spans="1:17" hidden="1" x14ac:dyDescent="0.3">
      <c r="A60" s="1">
        <v>42004</v>
      </c>
      <c r="B60" t="s">
        <v>29</v>
      </c>
      <c r="C60" s="6">
        <f>SUM(C57:C59)</f>
        <v>-761410.45000000007</v>
      </c>
      <c r="D60" s="6">
        <f>SUM(D57:D59)</f>
        <v>963289.10999999987</v>
      </c>
      <c r="E60" s="6">
        <f>SUM(E57:E59)</f>
        <v>201878.65999999986</v>
      </c>
      <c r="F60" s="6">
        <v>137376.57</v>
      </c>
      <c r="G60" s="6">
        <f>E60-F60</f>
        <v>64502.089999999851</v>
      </c>
    </row>
    <row r="61" spans="1:17" hidden="1" x14ac:dyDescent="0.3">
      <c r="B61" t="s">
        <v>26</v>
      </c>
      <c r="C61" s="6">
        <v>178.37</v>
      </c>
      <c r="D61" s="2">
        <v>650.80999999999995</v>
      </c>
      <c r="E61" s="6">
        <f>SUM(C61:D61)</f>
        <v>829.18</v>
      </c>
    </row>
    <row r="62" spans="1:17" hidden="1" x14ac:dyDescent="0.3">
      <c r="B62" t="s">
        <v>24</v>
      </c>
      <c r="C62" s="6">
        <v>-60197.97</v>
      </c>
      <c r="D62" s="2">
        <v>-60276.63</v>
      </c>
      <c r="E62" s="6">
        <f>SUM(C62:D62)</f>
        <v>-120474.6</v>
      </c>
    </row>
    <row r="63" spans="1:17" hidden="1" x14ac:dyDescent="0.3">
      <c r="A63" s="1">
        <v>42035</v>
      </c>
      <c r="B63" t="s">
        <v>29</v>
      </c>
      <c r="C63" s="6">
        <f>SUM(C60:C62)</f>
        <v>-821430.05</v>
      </c>
      <c r="D63" s="6">
        <f>SUM(D60:D62)</f>
        <v>903663.28999999992</v>
      </c>
      <c r="E63" s="6">
        <f>SUM(E60:E62)</f>
        <v>82233.239999999845</v>
      </c>
      <c r="F63" s="6">
        <v>17731.150000000001</v>
      </c>
      <c r="G63" s="6">
        <f>E63-F63</f>
        <v>64502.089999999844</v>
      </c>
    </row>
    <row r="64" spans="1:17" hidden="1" x14ac:dyDescent="0.3">
      <c r="B64" t="s">
        <v>28</v>
      </c>
      <c r="C64" s="6">
        <v>25.56</v>
      </c>
      <c r="D64" s="2">
        <v>89677.5</v>
      </c>
      <c r="E64" s="6">
        <f>SUM(C64:D64)</f>
        <v>89703.06</v>
      </c>
      <c r="O64" s="11"/>
      <c r="P64" s="11"/>
      <c r="Q64" s="11"/>
    </row>
    <row r="65" spans="1:17" hidden="1" x14ac:dyDescent="0.3">
      <c r="B65" t="s">
        <v>24</v>
      </c>
      <c r="C65" s="6">
        <v>-43288.1</v>
      </c>
      <c r="D65" s="6">
        <v>-43585.440000000002</v>
      </c>
      <c r="E65" s="6">
        <f>SUM(C65:D65)</f>
        <v>-86873.540000000008</v>
      </c>
      <c r="N65" s="12"/>
      <c r="O65" s="8"/>
      <c r="P65" s="8"/>
      <c r="Q65" s="12"/>
    </row>
    <row r="66" spans="1:17" hidden="1" x14ac:dyDescent="0.3">
      <c r="A66" s="1">
        <v>42063</v>
      </c>
      <c r="B66" t="s">
        <v>29</v>
      </c>
      <c r="C66" s="6">
        <f>SUM(C63:C65)</f>
        <v>-864692.59</v>
      </c>
      <c r="D66" s="6">
        <f>SUM(D63:D65)</f>
        <v>949755.34999999986</v>
      </c>
      <c r="E66" s="6">
        <f>SUM(E63:E65)</f>
        <v>85062.759999999835</v>
      </c>
      <c r="F66" s="6">
        <v>20560.669999999998</v>
      </c>
      <c r="G66" s="6">
        <f>E66-F66</f>
        <v>64502.089999999836</v>
      </c>
      <c r="N66" s="13"/>
      <c r="O66" s="11"/>
      <c r="P66" s="11"/>
      <c r="Q66" s="11"/>
    </row>
    <row r="67" spans="1:17" hidden="1" x14ac:dyDescent="0.3">
      <c r="B67" t="s">
        <v>26</v>
      </c>
      <c r="C67" s="6">
        <v>149802.68</v>
      </c>
      <c r="D67">
        <v>103412.37</v>
      </c>
      <c r="E67" s="6">
        <f>SUM(C67:D67)</f>
        <v>253215.05</v>
      </c>
      <c r="N67" s="12"/>
      <c r="O67" s="11"/>
      <c r="P67" s="11"/>
      <c r="Q67" s="11"/>
    </row>
    <row r="68" spans="1:17" hidden="1" x14ac:dyDescent="0.3">
      <c r="B68" t="s">
        <v>24</v>
      </c>
      <c r="C68" s="6">
        <v>-79172.03</v>
      </c>
      <c r="D68">
        <v>-32259.15</v>
      </c>
      <c r="E68" s="6">
        <f>SUM(C68:D68)</f>
        <v>-111431.18</v>
      </c>
      <c r="N68" s="12"/>
      <c r="O68" s="11"/>
      <c r="P68" s="11"/>
      <c r="Q68" s="11"/>
    </row>
    <row r="69" spans="1:17" hidden="1" x14ac:dyDescent="0.3">
      <c r="A69" s="1">
        <v>42094</v>
      </c>
      <c r="B69" t="s">
        <v>29</v>
      </c>
      <c r="C69" s="6">
        <f>SUM(C66:C68)</f>
        <v>-794061.94</v>
      </c>
      <c r="D69" s="6">
        <f>SUM(D66:D68)</f>
        <v>1020908.5699999997</v>
      </c>
      <c r="E69" s="6">
        <f>SUM(E66:E68)</f>
        <v>226846.62999999983</v>
      </c>
      <c r="F69" s="6">
        <v>162344.54</v>
      </c>
      <c r="G69" s="6">
        <f>E69-F69</f>
        <v>64502.089999999822</v>
      </c>
      <c r="N69" s="12"/>
      <c r="O69" s="11"/>
      <c r="P69" s="11"/>
      <c r="Q69" s="11"/>
    </row>
    <row r="70" spans="1:17" hidden="1" x14ac:dyDescent="0.3">
      <c r="B70" t="s">
        <v>26</v>
      </c>
      <c r="C70" s="6">
        <v>422537.47</v>
      </c>
      <c r="D70" s="6">
        <v>4814.29</v>
      </c>
      <c r="E70" s="6">
        <f>SUM(C70:D70)</f>
        <v>427351.75999999995</v>
      </c>
      <c r="N70" s="12"/>
      <c r="O70" s="12"/>
      <c r="P70" s="12"/>
      <c r="Q70" s="11"/>
    </row>
    <row r="71" spans="1:17" hidden="1" x14ac:dyDescent="0.3">
      <c r="B71" t="s">
        <v>24</v>
      </c>
      <c r="C71">
        <v>-171401.26</v>
      </c>
      <c r="D71">
        <v>-159960.37</v>
      </c>
      <c r="E71">
        <f>SUM(C71:D71)</f>
        <v>-331361.63</v>
      </c>
    </row>
    <row r="72" spans="1:17" hidden="1" x14ac:dyDescent="0.3">
      <c r="A72" s="1">
        <v>42124</v>
      </c>
      <c r="B72" t="s">
        <v>29</v>
      </c>
      <c r="C72" s="6">
        <f>SUM(C69:C71)</f>
        <v>-542925.73</v>
      </c>
      <c r="D72" s="6">
        <f>SUM(D69:D71)</f>
        <v>865762.48999999976</v>
      </c>
      <c r="E72" s="6">
        <f>SUM(E69:E71)</f>
        <v>322836.75999999978</v>
      </c>
      <c r="F72" s="6">
        <v>258334.66</v>
      </c>
      <c r="G72" s="6">
        <f>E72-F72</f>
        <v>64502.099999999773</v>
      </c>
    </row>
    <row r="73" spans="1:17" hidden="1" x14ac:dyDescent="0.3">
      <c r="B73" t="s">
        <v>26</v>
      </c>
      <c r="C73" s="6">
        <f>315431.04+183.79</f>
        <v>315614.82999999996</v>
      </c>
      <c r="D73" s="6">
        <v>2900.47</v>
      </c>
      <c r="E73" s="6">
        <f>SUM(C73:D73)</f>
        <v>318515.29999999993</v>
      </c>
    </row>
    <row r="74" spans="1:17" hidden="1" x14ac:dyDescent="0.3">
      <c r="B74" t="s">
        <v>24</v>
      </c>
      <c r="C74" s="6">
        <v>-61328.93</v>
      </c>
      <c r="D74" s="6">
        <v>-20021.18</v>
      </c>
      <c r="E74" s="6">
        <f>SUM(C74:D74)</f>
        <v>-81350.11</v>
      </c>
    </row>
    <row r="75" spans="1:17" hidden="1" x14ac:dyDescent="0.3">
      <c r="A75" s="1">
        <v>42155</v>
      </c>
      <c r="B75" t="s">
        <v>29</v>
      </c>
      <c r="C75" s="6">
        <f>SUM(C72:C74)</f>
        <v>-288639.83</v>
      </c>
      <c r="D75" s="6">
        <f>SUM(D72:D74)</f>
        <v>848641.77999999968</v>
      </c>
      <c r="E75" s="6">
        <f>SUM(E72:E74)</f>
        <v>560001.94999999972</v>
      </c>
      <c r="F75" s="6">
        <v>495499.84</v>
      </c>
      <c r="G75" s="6">
        <f>E75-F75</f>
        <v>64502.109999999695</v>
      </c>
    </row>
    <row r="76" spans="1:17" hidden="1" x14ac:dyDescent="0.3">
      <c r="B76" t="s">
        <v>26</v>
      </c>
      <c r="C76" s="6">
        <v>506972.7</v>
      </c>
      <c r="D76" s="6">
        <v>56998.22</v>
      </c>
      <c r="E76">
        <f>SUM(C76:D76)</f>
        <v>563970.92000000004</v>
      </c>
    </row>
    <row r="77" spans="1:17" hidden="1" x14ac:dyDescent="0.3">
      <c r="B77" t="s">
        <v>24</v>
      </c>
      <c r="C77">
        <v>-167302.21</v>
      </c>
      <c r="D77" s="6">
        <v>-50765.97</v>
      </c>
      <c r="E77">
        <f>SUM(C77:D77)</f>
        <v>-218068.18</v>
      </c>
    </row>
    <row r="78" spans="1:17" hidden="1" x14ac:dyDescent="0.3">
      <c r="B78" t="s">
        <v>35</v>
      </c>
      <c r="C78" s="6">
        <v>702640</v>
      </c>
      <c r="D78" s="6">
        <v>-702640</v>
      </c>
      <c r="E78" s="6">
        <f>SUM(C78:D78)</f>
        <v>0</v>
      </c>
    </row>
    <row r="79" spans="1:17" hidden="1" x14ac:dyDescent="0.3">
      <c r="A79" s="1">
        <v>42185</v>
      </c>
      <c r="B79" t="s">
        <v>29</v>
      </c>
      <c r="C79" s="6">
        <f>SUM(C75:C78)-25072.5</f>
        <v>728598.16</v>
      </c>
      <c r="D79" s="6">
        <f>SUM(D75:D78)-1647.12</f>
        <v>150586.90999999968</v>
      </c>
      <c r="E79" s="6">
        <f>SUM(E75:E77)</f>
        <v>905904.68999999971</v>
      </c>
      <c r="F79" s="6">
        <v>868122.2</v>
      </c>
      <c r="G79" s="11">
        <f>E79-F79</f>
        <v>37782.489999999758</v>
      </c>
      <c r="H79" s="11"/>
      <c r="I79" s="11"/>
      <c r="K79" s="6"/>
    </row>
    <row r="80" spans="1:17" hidden="1" x14ac:dyDescent="0.3">
      <c r="B80" t="s">
        <v>26</v>
      </c>
      <c r="C80" s="6">
        <f>11235.5+1994</f>
        <v>13229.5</v>
      </c>
      <c r="D80" s="6">
        <v>1671.97</v>
      </c>
      <c r="E80" s="6">
        <f>SUM(C80:D80)</f>
        <v>14901.47</v>
      </c>
    </row>
    <row r="81" spans="1:8" hidden="1" x14ac:dyDescent="0.3">
      <c r="B81" t="s">
        <v>36</v>
      </c>
      <c r="C81" s="6">
        <f>-86009.21</f>
        <v>-86009.21</v>
      </c>
      <c r="D81" s="6">
        <f>-1392.31</f>
        <v>-1392.31</v>
      </c>
      <c r="E81" s="6">
        <f>SUM(C81:D81)</f>
        <v>-87401.52</v>
      </c>
    </row>
    <row r="82" spans="1:8" hidden="1" x14ac:dyDescent="0.3">
      <c r="A82" s="1">
        <v>42216</v>
      </c>
      <c r="B82" t="s">
        <v>29</v>
      </c>
      <c r="C82" s="6">
        <f>SUM(C79:C81)</f>
        <v>655818.45000000007</v>
      </c>
      <c r="D82" s="6">
        <f>SUM(D79:D81)</f>
        <v>150866.56999999969</v>
      </c>
      <c r="E82" s="6">
        <f>SUM(E79:E81)</f>
        <v>833404.63999999966</v>
      </c>
      <c r="F82" s="6">
        <v>768902.53</v>
      </c>
      <c r="G82" s="6">
        <f>E82-F82</f>
        <v>64502.109999999637</v>
      </c>
      <c r="H82" t="s">
        <v>69</v>
      </c>
    </row>
    <row r="83" spans="1:8" hidden="1" x14ac:dyDescent="0.3">
      <c r="A83" s="12"/>
      <c r="B83" t="s">
        <v>26</v>
      </c>
      <c r="C83" s="6">
        <v>59494.25</v>
      </c>
      <c r="D83">
        <v>0</v>
      </c>
      <c r="E83" s="6">
        <f>SUM(C83:D83)</f>
        <v>59494.25</v>
      </c>
    </row>
    <row r="84" spans="1:8" s="12" customFormat="1" hidden="1" x14ac:dyDescent="0.3">
      <c r="B84" s="12" t="s">
        <v>32</v>
      </c>
      <c r="C84" s="11">
        <v>17942.5</v>
      </c>
      <c r="D84" s="11"/>
      <c r="E84" s="11">
        <f>SUM(C84:D84)</f>
        <v>17942.5</v>
      </c>
      <c r="F84" s="11">
        <f>SUM(E83:E84)</f>
        <v>77436.75</v>
      </c>
      <c r="G84" s="11"/>
    </row>
    <row r="85" spans="1:8" s="12" customFormat="1" hidden="1" x14ac:dyDescent="0.3">
      <c r="B85" s="12" t="s">
        <v>24</v>
      </c>
      <c r="C85" s="12">
        <f>-235818.43+-42.5</f>
        <v>-235860.93</v>
      </c>
      <c r="D85" s="12">
        <f>-21732.08+7085.45</f>
        <v>-14646.630000000001</v>
      </c>
      <c r="E85" s="11">
        <f>SUM(C85:D85)</f>
        <v>-250507.56</v>
      </c>
      <c r="F85" s="11"/>
      <c r="G85" s="11"/>
    </row>
    <row r="86" spans="1:8" s="12" customFormat="1" hidden="1" x14ac:dyDescent="0.3">
      <c r="B86" s="12" t="s">
        <v>33</v>
      </c>
      <c r="C86" s="11">
        <v>-33900.870000000003</v>
      </c>
      <c r="D86" s="11">
        <v>-93.4</v>
      </c>
      <c r="E86" s="11">
        <f>SUM(C86:D86)</f>
        <v>-33994.270000000004</v>
      </c>
      <c r="F86" s="11">
        <f>SUM(E85:E86)</f>
        <v>-284501.83</v>
      </c>
      <c r="G86" s="11"/>
    </row>
    <row r="87" spans="1:8" hidden="1" x14ac:dyDescent="0.3">
      <c r="A87" s="1">
        <v>42247</v>
      </c>
      <c r="B87" t="s">
        <v>29</v>
      </c>
      <c r="C87" s="6">
        <f>SUM(C82:C86)</f>
        <v>463493.40000000008</v>
      </c>
      <c r="D87" s="6">
        <f>SUM(D82:D86)</f>
        <v>136126.53999999969</v>
      </c>
      <c r="E87" s="6">
        <f>SUM(E82:E86)</f>
        <v>626339.55999999959</v>
      </c>
      <c r="F87" s="6">
        <v>561837.44999999995</v>
      </c>
      <c r="G87" s="6">
        <f>E87-F87</f>
        <v>64502.109999999637</v>
      </c>
    </row>
    <row r="88" spans="1:8" hidden="1" x14ac:dyDescent="0.3">
      <c r="B88" t="s">
        <v>34</v>
      </c>
      <c r="C88" s="6">
        <v>94162</v>
      </c>
      <c r="D88" s="6"/>
      <c r="E88" s="6">
        <f>SUM(C88:D88)</f>
        <v>94162</v>
      </c>
    </row>
    <row r="89" spans="1:8" hidden="1" x14ac:dyDescent="0.3">
      <c r="B89" t="s">
        <v>26</v>
      </c>
      <c r="C89" s="6">
        <v>77296.55</v>
      </c>
      <c r="D89" s="6"/>
      <c r="E89" s="6">
        <f>SUM(C89:D89)</f>
        <v>77296.55</v>
      </c>
    </row>
    <row r="90" spans="1:8" hidden="1" x14ac:dyDescent="0.3">
      <c r="B90" t="s">
        <v>24</v>
      </c>
      <c r="C90" s="6">
        <v>-197903.56</v>
      </c>
      <c r="D90" s="6">
        <v>-29545.33</v>
      </c>
      <c r="E90" s="6">
        <f>SUM(C90:D90)</f>
        <v>-227448.89</v>
      </c>
    </row>
    <row r="91" spans="1:8" hidden="1" x14ac:dyDescent="0.3">
      <c r="A91" s="1">
        <v>42277</v>
      </c>
      <c r="B91" t="s">
        <v>29</v>
      </c>
      <c r="C91" s="6">
        <f>SUM(C87:C90)</f>
        <v>437048.39000000019</v>
      </c>
      <c r="D91" s="6">
        <f>SUM(D87:D90)</f>
        <v>106581.20999999969</v>
      </c>
      <c r="E91" s="6">
        <f>SUM(E87:E90)</f>
        <v>570349.21999999962</v>
      </c>
      <c r="F91" s="6">
        <v>505847.13</v>
      </c>
      <c r="G91" s="6">
        <f>E91-F91</f>
        <v>64502.089999999618</v>
      </c>
    </row>
    <row r="92" spans="1:8" hidden="1" x14ac:dyDescent="0.3">
      <c r="B92" t="s">
        <v>37</v>
      </c>
      <c r="C92" s="6">
        <v>11235.5</v>
      </c>
      <c r="D92" s="6"/>
      <c r="E92" s="6">
        <f>SUM(C92:D92)</f>
        <v>11235.5</v>
      </c>
    </row>
    <row r="93" spans="1:8" hidden="1" x14ac:dyDescent="0.3">
      <c r="B93" t="s">
        <v>38</v>
      </c>
      <c r="C93" s="6">
        <v>14012.5</v>
      </c>
      <c r="D93" s="6"/>
      <c r="E93" s="6">
        <f t="shared" ref="E93:E96" si="2">SUM(C93:D93)</f>
        <v>14012.5</v>
      </c>
    </row>
    <row r="94" spans="1:8" hidden="1" x14ac:dyDescent="0.3">
      <c r="B94" s="14" t="s">
        <v>39</v>
      </c>
      <c r="C94" s="15">
        <v>1643.97</v>
      </c>
      <c r="D94" s="6"/>
      <c r="E94" s="6">
        <f t="shared" si="2"/>
        <v>1643.97</v>
      </c>
    </row>
    <row r="95" spans="1:8" hidden="1" x14ac:dyDescent="0.3">
      <c r="B95" s="14" t="s">
        <v>40</v>
      </c>
      <c r="C95" s="15">
        <v>21.47</v>
      </c>
      <c r="D95" s="6"/>
      <c r="E95" s="6">
        <f t="shared" si="2"/>
        <v>21.47</v>
      </c>
    </row>
    <row r="96" spans="1:8" hidden="1" x14ac:dyDescent="0.3">
      <c r="B96" t="s">
        <v>24</v>
      </c>
      <c r="C96" s="6">
        <v>-205894.61</v>
      </c>
      <c r="D96" s="6">
        <v>-58746.54</v>
      </c>
      <c r="E96" s="6">
        <f t="shared" si="2"/>
        <v>-264641.14999999997</v>
      </c>
    </row>
    <row r="97" spans="1:7" hidden="1" x14ac:dyDescent="0.3">
      <c r="A97" s="1">
        <v>42308</v>
      </c>
      <c r="B97" t="s">
        <v>41</v>
      </c>
      <c r="C97" s="6">
        <f>SUM(C91:C96)</f>
        <v>258067.22000000015</v>
      </c>
      <c r="D97" s="6">
        <f t="shared" ref="D97:E97" si="3">SUM(D91:D96)</f>
        <v>47834.669999999685</v>
      </c>
      <c r="E97" s="6">
        <f t="shared" si="3"/>
        <v>332621.5099999996</v>
      </c>
      <c r="F97" s="6">
        <v>268119.42</v>
      </c>
      <c r="G97" s="6">
        <f>E97-F97</f>
        <v>64502.089999999618</v>
      </c>
    </row>
    <row r="98" spans="1:7" hidden="1" x14ac:dyDescent="0.3">
      <c r="B98" t="s">
        <v>42</v>
      </c>
      <c r="C98" s="6"/>
      <c r="D98" s="6">
        <v>1065.0899999999999</v>
      </c>
      <c r="E98" s="6">
        <f>SUM(C98:D98)</f>
        <v>1065.0899999999999</v>
      </c>
    </row>
    <row r="99" spans="1:7" hidden="1" x14ac:dyDescent="0.3">
      <c r="B99" t="s">
        <v>26</v>
      </c>
      <c r="C99" s="6">
        <v>384031</v>
      </c>
      <c r="D99" s="6"/>
      <c r="E99" s="6">
        <f t="shared" ref="E99:E101" si="4">SUM(C99:D99)</f>
        <v>384031</v>
      </c>
    </row>
    <row r="100" spans="1:7" hidden="1" x14ac:dyDescent="0.3">
      <c r="B100" t="s">
        <v>43</v>
      </c>
      <c r="C100" s="6">
        <v>-168476.29</v>
      </c>
      <c r="D100" s="6">
        <v>-28819.81</v>
      </c>
      <c r="E100" s="6">
        <f t="shared" si="4"/>
        <v>-197296.1</v>
      </c>
    </row>
    <row r="101" spans="1:7" hidden="1" x14ac:dyDescent="0.3">
      <c r="B101" t="s">
        <v>70</v>
      </c>
      <c r="C101" s="6">
        <v>-2829.5</v>
      </c>
      <c r="D101" s="6">
        <v>-2829.5</v>
      </c>
      <c r="E101" s="6">
        <f t="shared" si="4"/>
        <v>-5659</v>
      </c>
    </row>
    <row r="102" spans="1:7" hidden="1" x14ac:dyDescent="0.3">
      <c r="A102" s="1">
        <v>42338</v>
      </c>
      <c r="B102" t="s">
        <v>41</v>
      </c>
      <c r="C102" s="6">
        <f>SUM(C97:C101)</f>
        <v>470792.43000000017</v>
      </c>
      <c r="D102" s="6">
        <f>SUM(D97:D101)</f>
        <v>17250.449999999681</v>
      </c>
      <c r="E102" s="6">
        <f>SUM(E97:E101)</f>
        <v>514762.49999999965</v>
      </c>
      <c r="F102" s="6">
        <v>450260.41</v>
      </c>
      <c r="G102" s="6">
        <f>E102-F102</f>
        <v>64502.089999999676</v>
      </c>
    </row>
    <row r="103" spans="1:7" hidden="1" x14ac:dyDescent="0.3">
      <c r="B103" t="s">
        <v>24</v>
      </c>
      <c r="C103" s="6">
        <v>-110902</v>
      </c>
      <c r="D103" s="6">
        <v>-49807.77</v>
      </c>
      <c r="E103" s="6">
        <f>SUM(C103:D103)</f>
        <v>-160709.76999999999</v>
      </c>
    </row>
    <row r="104" spans="1:7" hidden="1" x14ac:dyDescent="0.3">
      <c r="A104" s="1">
        <v>42369</v>
      </c>
      <c r="B104" t="s">
        <v>41</v>
      </c>
      <c r="C104" s="6">
        <f>SUM(C102:C103)</f>
        <v>359890.43000000017</v>
      </c>
      <c r="D104" s="6">
        <f>SUM(D102:D103)</f>
        <v>-32557.320000000316</v>
      </c>
      <c r="E104" s="6">
        <f>SUM(E102:E103)</f>
        <v>354052.72999999963</v>
      </c>
      <c r="F104" s="6">
        <v>289550.64</v>
      </c>
      <c r="G104" s="6">
        <f>E104-F104</f>
        <v>64502.089999999618</v>
      </c>
    </row>
    <row r="105" spans="1:7" hidden="1" x14ac:dyDescent="0.3">
      <c r="B105" t="s">
        <v>44</v>
      </c>
      <c r="C105" s="6">
        <v>172627.5</v>
      </c>
      <c r="D105" s="6"/>
      <c r="E105" s="6">
        <f t="shared" ref="E105:E109" si="5">SUM(C105:D105)</f>
        <v>172627.5</v>
      </c>
    </row>
    <row r="106" spans="1:7" hidden="1" x14ac:dyDescent="0.3">
      <c r="B106" t="s">
        <v>24</v>
      </c>
      <c r="C106" s="6">
        <v>-1095.8499999999999</v>
      </c>
      <c r="D106" s="6">
        <v>-13900.59</v>
      </c>
      <c r="E106" s="6">
        <f t="shared" si="5"/>
        <v>-14996.44</v>
      </c>
    </row>
    <row r="107" spans="1:7" hidden="1" x14ac:dyDescent="0.3">
      <c r="B107" t="s">
        <v>49</v>
      </c>
      <c r="C107" s="6">
        <v>-488.49</v>
      </c>
      <c r="D107" s="6"/>
      <c r="E107" s="6">
        <f t="shared" si="5"/>
        <v>-488.49</v>
      </c>
    </row>
    <row r="108" spans="1:7" hidden="1" x14ac:dyDescent="0.3">
      <c r="B108" s="14" t="s">
        <v>50</v>
      </c>
      <c r="C108" s="15">
        <v>-169.07</v>
      </c>
      <c r="D108" s="6"/>
      <c r="E108" s="6">
        <f t="shared" si="5"/>
        <v>-169.07</v>
      </c>
    </row>
    <row r="109" spans="1:7" hidden="1" x14ac:dyDescent="0.3">
      <c r="B109" s="14" t="s">
        <v>52</v>
      </c>
      <c r="C109" s="15">
        <v>-147.78</v>
      </c>
      <c r="D109" s="15">
        <v>-147.79</v>
      </c>
      <c r="E109" s="6">
        <f t="shared" si="5"/>
        <v>-295.57</v>
      </c>
    </row>
    <row r="110" spans="1:7" hidden="1" x14ac:dyDescent="0.3">
      <c r="A110" s="1">
        <v>42400</v>
      </c>
      <c r="B110" t="s">
        <v>41</v>
      </c>
      <c r="C110" s="6">
        <f>SUM(C104:C109)</f>
        <v>530616.74000000022</v>
      </c>
      <c r="D110" s="6">
        <f>SUM(D104:D109)</f>
        <v>-46605.700000000317</v>
      </c>
      <c r="E110" s="6">
        <f>SUM(E104:E109)</f>
        <v>510730.65999999963</v>
      </c>
      <c r="F110" s="6">
        <v>446230.44</v>
      </c>
      <c r="G110" s="6">
        <f>E110-F110</f>
        <v>64500.219999999623</v>
      </c>
    </row>
    <row r="111" spans="1:7" hidden="1" x14ac:dyDescent="0.3">
      <c r="B111" t="s">
        <v>45</v>
      </c>
      <c r="C111" s="6">
        <v>40258</v>
      </c>
      <c r="D111" s="6">
        <v>383.65</v>
      </c>
      <c r="E111" s="6">
        <f>SUM(C111:D111)</f>
        <v>40641.65</v>
      </c>
    </row>
    <row r="112" spans="1:7" hidden="1" x14ac:dyDescent="0.3">
      <c r="B112" t="s">
        <v>46</v>
      </c>
      <c r="C112" s="6">
        <v>-1341.42</v>
      </c>
      <c r="D112" s="6"/>
      <c r="E112" s="6">
        <f>SUM(C112:D112)</f>
        <v>-1341.42</v>
      </c>
    </row>
    <row r="113" spans="1:8" hidden="1" x14ac:dyDescent="0.3">
      <c r="B113" t="s">
        <v>43</v>
      </c>
      <c r="C113" s="6">
        <v>-20470.29</v>
      </c>
      <c r="D113" s="6">
        <v>-14439.54</v>
      </c>
      <c r="E113" s="6">
        <f>SUM(C113:D113)</f>
        <v>-34909.83</v>
      </c>
    </row>
    <row r="114" spans="1:8" hidden="1" x14ac:dyDescent="0.3">
      <c r="B114" s="14" t="s">
        <v>47</v>
      </c>
      <c r="C114" s="15">
        <v>1.87</v>
      </c>
      <c r="D114" s="6"/>
      <c r="E114" s="6">
        <f t="shared" ref="E114:E116" si="6">SUM(C114:D114)</f>
        <v>1.87</v>
      </c>
    </row>
    <row r="115" spans="1:8" hidden="1" x14ac:dyDescent="0.3">
      <c r="B115" s="14" t="s">
        <v>48</v>
      </c>
      <c r="C115" s="15">
        <v>-267</v>
      </c>
      <c r="D115" s="6"/>
      <c r="E115" s="6">
        <f t="shared" si="6"/>
        <v>-267</v>
      </c>
    </row>
    <row r="116" spans="1:8" hidden="1" x14ac:dyDescent="0.3">
      <c r="B116" t="s">
        <v>51</v>
      </c>
      <c r="C116" s="6">
        <v>-2011.25</v>
      </c>
      <c r="D116" s="6">
        <v>-2011.24</v>
      </c>
      <c r="E116" s="6">
        <f t="shared" si="6"/>
        <v>-4022.49</v>
      </c>
    </row>
    <row r="117" spans="1:8" hidden="1" x14ac:dyDescent="0.3">
      <c r="A117" s="1">
        <v>42429</v>
      </c>
      <c r="B117" t="s">
        <v>41</v>
      </c>
      <c r="C117" s="6">
        <f>SUM(C110:C116)</f>
        <v>546786.65000000014</v>
      </c>
      <c r="D117" s="6">
        <f>SUM(D110:D116)</f>
        <v>-62672.830000000315</v>
      </c>
      <c r="E117" s="6">
        <f>SUM(E110:E116)</f>
        <v>510833.43999999954</v>
      </c>
      <c r="F117" s="6">
        <v>446331.35</v>
      </c>
      <c r="G117" s="6">
        <f>E117-F117</f>
        <v>64502.08999999956</v>
      </c>
    </row>
    <row r="118" spans="1:8" hidden="1" x14ac:dyDescent="0.3">
      <c r="B118" s="12" t="s">
        <v>68</v>
      </c>
      <c r="C118" s="11">
        <v>43175.17</v>
      </c>
      <c r="D118" s="6"/>
      <c r="E118" s="6">
        <f>SUM(C118:D118)</f>
        <v>43175.17</v>
      </c>
    </row>
    <row r="119" spans="1:8" hidden="1" x14ac:dyDescent="0.3">
      <c r="B119" t="s">
        <v>53</v>
      </c>
      <c r="C119" s="6">
        <v>1341.42</v>
      </c>
      <c r="D119" s="6"/>
      <c r="E119" s="6">
        <f t="shared" ref="E119:E122" si="7">SUM(C119:D119)</f>
        <v>1341.42</v>
      </c>
    </row>
    <row r="120" spans="1:8" hidden="1" x14ac:dyDescent="0.3">
      <c r="B120" s="14" t="s">
        <v>58</v>
      </c>
      <c r="C120" s="15">
        <v>-242.39</v>
      </c>
      <c r="D120" s="6"/>
      <c r="E120" s="6">
        <f t="shared" si="7"/>
        <v>-242.39</v>
      </c>
    </row>
    <row r="121" spans="1:8" hidden="1" x14ac:dyDescent="0.3">
      <c r="B121" t="s">
        <v>24</v>
      </c>
      <c r="C121" s="6">
        <v>-160166.56</v>
      </c>
      <c r="D121" s="6">
        <v>-58878.31</v>
      </c>
      <c r="E121" s="6">
        <f t="shared" si="7"/>
        <v>-219044.87</v>
      </c>
    </row>
    <row r="122" spans="1:8" hidden="1" x14ac:dyDescent="0.3">
      <c r="B122" s="14" t="s">
        <v>54</v>
      </c>
      <c r="C122" s="15">
        <f>-104.82</f>
        <v>-104.82</v>
      </c>
      <c r="D122" s="6"/>
      <c r="E122" s="6">
        <f t="shared" si="7"/>
        <v>-104.82</v>
      </c>
    </row>
    <row r="123" spans="1:8" hidden="1" x14ac:dyDescent="0.3">
      <c r="A123" s="1">
        <v>42460</v>
      </c>
      <c r="B123" t="s">
        <v>41</v>
      </c>
      <c r="C123" s="6">
        <f>SUM(C117:C122)</f>
        <v>430789.4700000002</v>
      </c>
      <c r="D123" s="6">
        <f>SUM(D117:D122)</f>
        <v>-121551.14000000031</v>
      </c>
      <c r="E123" s="6">
        <f>SUM(E117:E122)</f>
        <v>335957.94999999955</v>
      </c>
      <c r="F123" s="6">
        <v>271455.86</v>
      </c>
      <c r="G123" s="6">
        <f>E123-F123</f>
        <v>64502.08999999956</v>
      </c>
    </row>
    <row r="124" spans="1:8" hidden="1" x14ac:dyDescent="0.3">
      <c r="B124" s="14" t="s">
        <v>55</v>
      </c>
      <c r="C124" s="15">
        <v>-217.16</v>
      </c>
      <c r="E124" s="6">
        <f>SUM(C124:D124)</f>
        <v>-217.16</v>
      </c>
    </row>
    <row r="125" spans="1:8" hidden="1" x14ac:dyDescent="0.3">
      <c r="B125" s="14" t="s">
        <v>56</v>
      </c>
      <c r="C125" s="15">
        <v>242.39</v>
      </c>
      <c r="E125" s="6">
        <f>SUM(C125:D125)</f>
        <v>242.39</v>
      </c>
    </row>
    <row r="126" spans="1:8" hidden="1" x14ac:dyDescent="0.3">
      <c r="B126" t="s">
        <v>26</v>
      </c>
      <c r="C126" s="6">
        <v>220947.48</v>
      </c>
      <c r="E126" s="6">
        <f t="shared" ref="E126:E130" si="8">SUM(C126:D126)</f>
        <v>220947.48</v>
      </c>
    </row>
    <row r="127" spans="1:8" hidden="1" x14ac:dyDescent="0.3">
      <c r="B127" s="14" t="s">
        <v>64</v>
      </c>
      <c r="C127" s="6">
        <v>-7393.38</v>
      </c>
      <c r="D127" s="6">
        <v>-317.38</v>
      </c>
      <c r="E127" s="6">
        <f t="shared" si="8"/>
        <v>-7710.76</v>
      </c>
      <c r="H127" s="6"/>
    </row>
    <row r="128" spans="1:8" hidden="1" x14ac:dyDescent="0.3">
      <c r="B128" s="12" t="s">
        <v>24</v>
      </c>
      <c r="C128" s="6">
        <v>-55533.3</v>
      </c>
      <c r="D128" s="6">
        <v>-15650.5</v>
      </c>
      <c r="E128" s="6">
        <f t="shared" si="8"/>
        <v>-71183.8</v>
      </c>
      <c r="H128" s="6"/>
    </row>
    <row r="129" spans="1:8" hidden="1" x14ac:dyDescent="0.3">
      <c r="B129" s="14" t="s">
        <v>61</v>
      </c>
      <c r="C129" s="15">
        <v>-60.33</v>
      </c>
      <c r="D129" s="6"/>
      <c r="E129" s="6">
        <f t="shared" si="8"/>
        <v>-60.33</v>
      </c>
      <c r="H129" s="6"/>
    </row>
    <row r="130" spans="1:8" hidden="1" x14ac:dyDescent="0.3">
      <c r="B130" s="14" t="s">
        <v>57</v>
      </c>
      <c r="C130" s="6">
        <v>-23466.89</v>
      </c>
      <c r="D130" s="6"/>
      <c r="E130" s="6">
        <f t="shared" si="8"/>
        <v>-23466.89</v>
      </c>
      <c r="H130" s="6"/>
    </row>
    <row r="131" spans="1:8" hidden="1" x14ac:dyDescent="0.3">
      <c r="A131" s="1">
        <v>42490</v>
      </c>
      <c r="B131" s="12" t="s">
        <v>41</v>
      </c>
      <c r="C131" s="6">
        <f>SUM(C123:C130)</f>
        <v>565308.28000000026</v>
      </c>
      <c r="D131" s="6">
        <f>SUM(D123:D130)</f>
        <v>-137519.02000000031</v>
      </c>
      <c r="E131" s="6">
        <f>SUM(E123:E130)</f>
        <v>454508.87999999954</v>
      </c>
      <c r="F131" s="6">
        <f>397717.55</f>
        <v>397717.55</v>
      </c>
      <c r="G131" s="6">
        <f>E131-F131</f>
        <v>56791.329999999551</v>
      </c>
      <c r="H131" s="6"/>
    </row>
    <row r="132" spans="1:8" hidden="1" x14ac:dyDescent="0.3">
      <c r="B132" s="14" t="s">
        <v>58</v>
      </c>
      <c r="C132" s="15">
        <v>-217.46</v>
      </c>
      <c r="D132" s="6"/>
      <c r="E132" s="6">
        <f>SUM(C132:D132)</f>
        <v>-217.46</v>
      </c>
      <c r="H132" s="6"/>
    </row>
    <row r="133" spans="1:8" hidden="1" x14ac:dyDescent="0.3">
      <c r="B133" s="14" t="s">
        <v>58</v>
      </c>
      <c r="C133" s="15">
        <v>1928.86</v>
      </c>
      <c r="D133" s="6"/>
      <c r="E133" s="6">
        <f t="shared" ref="E133:E138" si="9">SUM(C133:D133)</f>
        <v>1928.86</v>
      </c>
      <c r="H133" s="6"/>
    </row>
    <row r="134" spans="1:8" hidden="1" x14ac:dyDescent="0.3">
      <c r="B134" s="12" t="s">
        <v>26</v>
      </c>
      <c r="C134" s="6">
        <v>50157.79</v>
      </c>
      <c r="D134" s="6"/>
      <c r="E134" s="6">
        <f t="shared" si="9"/>
        <v>50157.79</v>
      </c>
      <c r="H134" s="6"/>
    </row>
    <row r="135" spans="1:8" hidden="1" x14ac:dyDescent="0.3">
      <c r="B135" s="12" t="s">
        <v>59</v>
      </c>
      <c r="C135" s="6">
        <v>107840.56</v>
      </c>
      <c r="D135" s="6"/>
      <c r="E135" s="6">
        <f t="shared" si="9"/>
        <v>107840.56</v>
      </c>
      <c r="H135" s="6"/>
    </row>
    <row r="136" spans="1:8" hidden="1" x14ac:dyDescent="0.3">
      <c r="B136" s="12" t="s">
        <v>60</v>
      </c>
      <c r="C136" s="6">
        <v>-71210.2</v>
      </c>
      <c r="D136" s="6">
        <v>-30911.41</v>
      </c>
      <c r="E136" s="6">
        <f t="shared" si="9"/>
        <v>-102121.61</v>
      </c>
      <c r="H136" s="6"/>
    </row>
    <row r="137" spans="1:8" hidden="1" x14ac:dyDescent="0.3">
      <c r="B137" s="14" t="s">
        <v>63</v>
      </c>
      <c r="C137" s="6">
        <v>-48681.120000000003</v>
      </c>
      <c r="D137" s="6">
        <v>-20826.64</v>
      </c>
      <c r="E137" s="6">
        <f t="shared" si="9"/>
        <v>-69507.760000000009</v>
      </c>
      <c r="H137" s="6"/>
    </row>
    <row r="138" spans="1:8" hidden="1" x14ac:dyDescent="0.3">
      <c r="B138" s="14" t="s">
        <v>62</v>
      </c>
      <c r="C138" s="15">
        <v>-54.6</v>
      </c>
      <c r="D138" s="15"/>
      <c r="E138" s="6">
        <f t="shared" si="9"/>
        <v>-54.6</v>
      </c>
      <c r="H138" s="6"/>
    </row>
    <row r="139" spans="1:8" hidden="1" x14ac:dyDescent="0.3">
      <c r="A139" s="1">
        <v>42521</v>
      </c>
      <c r="B139" s="12" t="s">
        <v>41</v>
      </c>
      <c r="C139" s="6">
        <f>SUM(C131:C138)</f>
        <v>605072.11000000034</v>
      </c>
      <c r="D139" s="6">
        <f>SUM(D131:D138)</f>
        <v>-189257.0700000003</v>
      </c>
      <c r="E139" s="6">
        <f>SUM(E131:E138)</f>
        <v>442534.65999999945</v>
      </c>
      <c r="F139" s="6">
        <f>378032.57</f>
        <v>378032.57</v>
      </c>
      <c r="G139" s="6">
        <f>E139-F139</f>
        <v>64502.089999999444</v>
      </c>
      <c r="H139" s="6"/>
    </row>
    <row r="140" spans="1:8" hidden="1" x14ac:dyDescent="0.3">
      <c r="B140" s="12" t="s">
        <v>65</v>
      </c>
      <c r="C140" s="6">
        <v>224904.9</v>
      </c>
      <c r="D140" s="6">
        <v>6527.68</v>
      </c>
      <c r="E140" s="6">
        <f>SUM(C140:D140)</f>
        <v>231432.58</v>
      </c>
      <c r="H140" s="6"/>
    </row>
    <row r="141" spans="1:8" hidden="1" x14ac:dyDescent="0.3">
      <c r="B141" s="14" t="s">
        <v>66</v>
      </c>
      <c r="C141" s="15">
        <v>169.07</v>
      </c>
      <c r="D141" s="6"/>
      <c r="E141" s="6">
        <f t="shared" ref="E141:E145" si="10">SUM(C141:D141)</f>
        <v>169.07</v>
      </c>
      <c r="H141" s="6"/>
    </row>
    <row r="142" spans="1:8" hidden="1" x14ac:dyDescent="0.3">
      <c r="B142" s="12" t="s">
        <v>5</v>
      </c>
      <c r="C142" s="6">
        <v>-98883.48</v>
      </c>
      <c r="D142" s="6">
        <v>-50143.08</v>
      </c>
      <c r="E142" s="6">
        <f t="shared" si="10"/>
        <v>-149026.56</v>
      </c>
      <c r="H142" s="6"/>
    </row>
    <row r="143" spans="1:8" hidden="1" x14ac:dyDescent="0.3">
      <c r="B143" s="12" t="s">
        <v>73</v>
      </c>
      <c r="C143" s="6">
        <v>1429.71</v>
      </c>
      <c r="D143" s="6"/>
      <c r="E143" s="6">
        <f t="shared" si="10"/>
        <v>1429.71</v>
      </c>
      <c r="H143" s="6"/>
    </row>
    <row r="144" spans="1:8" hidden="1" x14ac:dyDescent="0.3">
      <c r="B144" s="12" t="s">
        <v>82</v>
      </c>
      <c r="C144" s="6">
        <v>-28882.69</v>
      </c>
      <c r="D144" s="6">
        <v>28882.69</v>
      </c>
      <c r="E144" s="6">
        <f t="shared" si="10"/>
        <v>0</v>
      </c>
      <c r="H144" s="6"/>
    </row>
    <row r="145" spans="1:14" hidden="1" x14ac:dyDescent="0.3">
      <c r="B145" s="12" t="s">
        <v>89</v>
      </c>
      <c r="C145" s="6">
        <v>-55577.120000000003</v>
      </c>
      <c r="D145" s="6">
        <v>-8924.16</v>
      </c>
      <c r="E145" s="6">
        <f t="shared" si="10"/>
        <v>-64501.279999999999</v>
      </c>
      <c r="H145" s="6"/>
    </row>
    <row r="146" spans="1:14" hidden="1" x14ac:dyDescent="0.3">
      <c r="A146" s="1">
        <v>42551</v>
      </c>
      <c r="B146" s="12" t="s">
        <v>41</v>
      </c>
      <c r="C146" s="6">
        <f>SUM(C139:C145)</f>
        <v>648232.50000000035</v>
      </c>
      <c r="D146" s="6">
        <f>SUM(D139:D145)</f>
        <v>-212913.94000000032</v>
      </c>
      <c r="E146" s="6">
        <f>SUM(E139:E145)</f>
        <v>462038.17999999924</v>
      </c>
      <c r="F146" s="6">
        <v>462037.39</v>
      </c>
      <c r="G146" s="6">
        <f>E146-F146</f>
        <v>0.78999999922234565</v>
      </c>
      <c r="H146" s="6"/>
    </row>
    <row r="147" spans="1:14" hidden="1" x14ac:dyDescent="0.3">
      <c r="B147" s="12" t="s">
        <v>67</v>
      </c>
      <c r="C147" s="6">
        <v>644045.48</v>
      </c>
      <c r="D147" s="6">
        <v>-182008.09</v>
      </c>
      <c r="E147" s="6">
        <f>C147+D147</f>
        <v>462037.39</v>
      </c>
      <c r="F147" s="6">
        <v>462037.39</v>
      </c>
      <c r="G147" s="6">
        <f>E147-F147</f>
        <v>0</v>
      </c>
      <c r="H147" s="6"/>
    </row>
    <row r="148" spans="1:14" hidden="1" x14ac:dyDescent="0.3">
      <c r="B148" s="12" t="s">
        <v>77</v>
      </c>
      <c r="C148" s="6">
        <f>C147-C146</f>
        <v>-4187.0200000003679</v>
      </c>
      <c r="D148" s="6">
        <f>D147-D146</f>
        <v>30905.850000000326</v>
      </c>
      <c r="E148" s="6">
        <f>C148+D148</f>
        <v>26718.829999999958</v>
      </c>
      <c r="G148" s="6">
        <f>G146-G147</f>
        <v>0.78999999922234565</v>
      </c>
      <c r="H148" s="6"/>
    </row>
    <row r="149" spans="1:14" hidden="1" x14ac:dyDescent="0.3">
      <c r="B149" s="16" t="s">
        <v>71</v>
      </c>
      <c r="C149" s="6"/>
      <c r="D149" s="6"/>
      <c r="E149" s="6"/>
      <c r="H149" s="6"/>
    </row>
    <row r="150" spans="1:14" hidden="1" x14ac:dyDescent="0.3">
      <c r="B150" s="16"/>
      <c r="C150" s="6"/>
      <c r="D150" s="6"/>
      <c r="E150" s="6"/>
      <c r="F150" s="6" t="s">
        <v>100</v>
      </c>
      <c r="H150" s="6"/>
    </row>
    <row r="151" spans="1:14" hidden="1" x14ac:dyDescent="0.3">
      <c r="A151" s="1"/>
      <c r="B151" s="18" t="s">
        <v>80</v>
      </c>
      <c r="C151" s="6">
        <f>344030.02-635.91</f>
        <v>343394.11000000004</v>
      </c>
      <c r="D151" s="6">
        <v>1671.97</v>
      </c>
      <c r="E151" s="6">
        <f>SUM(C151:D151)</f>
        <v>345066.08</v>
      </c>
      <c r="H151" s="6"/>
    </row>
    <row r="152" spans="1:14" hidden="1" x14ac:dyDescent="0.3">
      <c r="B152" t="s">
        <v>72</v>
      </c>
      <c r="C152" s="6">
        <v>-52253.47</v>
      </c>
      <c r="D152" s="6">
        <v>-23173.59</v>
      </c>
      <c r="E152" s="6">
        <f>SUM(C152:D152)</f>
        <v>-75427.06</v>
      </c>
      <c r="H152" s="6"/>
    </row>
    <row r="153" spans="1:14" hidden="1" x14ac:dyDescent="0.3">
      <c r="A153" s="1">
        <v>42582</v>
      </c>
      <c r="B153" t="s">
        <v>74</v>
      </c>
      <c r="C153" s="6">
        <f>C147+C151+C152</f>
        <v>935186.12000000011</v>
      </c>
      <c r="D153" s="6">
        <f>D147+D151+D152</f>
        <v>-203509.71</v>
      </c>
      <c r="E153" s="6">
        <f>E147+E151+E152</f>
        <v>731676.40999999992</v>
      </c>
      <c r="F153" s="6">
        <v>754225.93</v>
      </c>
      <c r="G153" s="6">
        <f>E153-F153</f>
        <v>-22549.520000000135</v>
      </c>
      <c r="H153" s="6"/>
      <c r="N153" t="s">
        <v>99</v>
      </c>
    </row>
    <row r="154" spans="1:14" hidden="1" x14ac:dyDescent="0.3">
      <c r="B154" t="s">
        <v>75</v>
      </c>
      <c r="C154" s="6">
        <v>-53820.800000000003</v>
      </c>
      <c r="D154" s="6">
        <v>-5368.9</v>
      </c>
      <c r="E154" s="6">
        <f t="shared" ref="E154:E155" si="11">SUM(C154:D154)</f>
        <v>-59189.700000000004</v>
      </c>
      <c r="F154" s="6">
        <v>-59189.7</v>
      </c>
      <c r="H154" s="6"/>
      <c r="N154">
        <v>54594.98</v>
      </c>
    </row>
    <row r="155" spans="1:14" hidden="1" x14ac:dyDescent="0.3">
      <c r="B155" t="s">
        <v>76</v>
      </c>
      <c r="C155" s="6">
        <v>40891.86</v>
      </c>
      <c r="D155" s="6">
        <v>59803.68</v>
      </c>
      <c r="E155" s="6">
        <f t="shared" si="11"/>
        <v>100695.54000000001</v>
      </c>
      <c r="F155" s="6">
        <v>54594.98</v>
      </c>
      <c r="H155" s="6"/>
    </row>
    <row r="156" spans="1:14" hidden="1" x14ac:dyDescent="0.3">
      <c r="A156" s="17">
        <v>42613</v>
      </c>
      <c r="B156" s="5" t="s">
        <v>41</v>
      </c>
      <c r="C156" s="6">
        <f>SUM(C153:C155)</f>
        <v>922257.18</v>
      </c>
      <c r="D156" s="6">
        <f t="shared" ref="D156" si="12">SUM(D153:D155)</f>
        <v>-149074.93</v>
      </c>
      <c r="E156" s="6">
        <f>SUM(E153:E155)</f>
        <v>773182.25</v>
      </c>
      <c r="F156" s="11">
        <f>SUM(F153:F155)</f>
        <v>749631.21000000008</v>
      </c>
      <c r="G156" s="6">
        <f>E156-F156</f>
        <v>23551.039999999921</v>
      </c>
      <c r="H156" s="6"/>
      <c r="N156" t="s">
        <v>101</v>
      </c>
    </row>
    <row r="157" spans="1:14" hidden="1" x14ac:dyDescent="0.3">
      <c r="B157" t="s">
        <v>78</v>
      </c>
      <c r="C157" s="6">
        <v>-148123.04999999999</v>
      </c>
      <c r="D157" s="6">
        <v>-152534.63</v>
      </c>
      <c r="E157" s="6">
        <f>SUM(C157:D157)</f>
        <v>-300657.68</v>
      </c>
      <c r="F157" s="6">
        <f>SUM(E157)</f>
        <v>-300657.68</v>
      </c>
      <c r="H157" s="6"/>
    </row>
    <row r="158" spans="1:14" hidden="1" x14ac:dyDescent="0.3">
      <c r="B158" t="s">
        <v>79</v>
      </c>
      <c r="C158" s="6">
        <v>153189.35</v>
      </c>
      <c r="D158" s="6">
        <v>78051.09</v>
      </c>
      <c r="E158" s="6">
        <f>SUM(C158:D158)</f>
        <v>231240.44</v>
      </c>
      <c r="F158" s="6">
        <f>SUM(E158)</f>
        <v>231240.44</v>
      </c>
      <c r="H158" s="6"/>
    </row>
    <row r="159" spans="1:14" hidden="1" x14ac:dyDescent="0.3">
      <c r="A159" s="17">
        <v>42643</v>
      </c>
      <c r="B159" s="5" t="s">
        <v>41</v>
      </c>
      <c r="C159" s="6">
        <f>SUM(C156:C158)</f>
        <v>927323.4800000001</v>
      </c>
      <c r="D159" s="6">
        <f>SUM(D156:D158)</f>
        <v>-223558.47</v>
      </c>
      <c r="E159" s="6">
        <f>SUM(E156:E158)</f>
        <v>703765.01</v>
      </c>
      <c r="F159" s="6">
        <v>703765.01</v>
      </c>
      <c r="G159" s="6">
        <f>E159-F159</f>
        <v>0</v>
      </c>
      <c r="H159" s="6"/>
    </row>
    <row r="160" spans="1:14" hidden="1" x14ac:dyDescent="0.3">
      <c r="B160" t="s">
        <v>81</v>
      </c>
      <c r="C160" s="6">
        <f>-41582.65</f>
        <v>-41582.65</v>
      </c>
      <c r="D160" s="6">
        <v>-13025.12</v>
      </c>
      <c r="E160" s="6">
        <f>SUM(C160:D160)</f>
        <v>-54607.770000000004</v>
      </c>
      <c r="F160" s="6">
        <v>-54607.77</v>
      </c>
      <c r="H160" s="6"/>
    </row>
    <row r="161" spans="1:14" hidden="1" x14ac:dyDescent="0.3">
      <c r="B161" t="s">
        <v>86</v>
      </c>
      <c r="C161" s="6">
        <v>975.5</v>
      </c>
      <c r="D161" s="6"/>
      <c r="E161" s="6">
        <v>975.5</v>
      </c>
      <c r="F161" s="6">
        <v>975.5</v>
      </c>
      <c r="H161" s="6"/>
    </row>
    <row r="162" spans="1:14" hidden="1" x14ac:dyDescent="0.3">
      <c r="A162" s="17">
        <v>42674</v>
      </c>
      <c r="B162" s="5" t="s">
        <v>74</v>
      </c>
      <c r="C162" s="6">
        <f>SUM(C159:C161)</f>
        <v>886716.33000000007</v>
      </c>
      <c r="D162" s="6">
        <f>SUM(D159:D160)</f>
        <v>-236583.59</v>
      </c>
      <c r="E162" s="6">
        <f>SUM(E159:E161)</f>
        <v>650132.74</v>
      </c>
      <c r="F162" s="6">
        <v>645342.29</v>
      </c>
      <c r="G162" s="6">
        <f>E162-F162</f>
        <v>4790.4499999999534</v>
      </c>
      <c r="H162" s="6"/>
      <c r="N162" t="s">
        <v>102</v>
      </c>
    </row>
    <row r="163" spans="1:14" hidden="1" x14ac:dyDescent="0.3">
      <c r="B163" t="s">
        <v>83</v>
      </c>
      <c r="C163" s="6">
        <v>-99043.41</v>
      </c>
      <c r="D163" s="6">
        <v>-28580.89</v>
      </c>
      <c r="E163" s="6">
        <f>SUM(C163:D163)</f>
        <v>-127624.3</v>
      </c>
      <c r="F163" s="6">
        <v>-127624.3</v>
      </c>
    </row>
    <row r="164" spans="1:14" hidden="1" x14ac:dyDescent="0.3">
      <c r="B164" t="s">
        <v>85</v>
      </c>
      <c r="C164" s="6">
        <v>39416.5</v>
      </c>
      <c r="D164" s="6">
        <v>27.79</v>
      </c>
      <c r="E164" s="6">
        <f>SUM(C164:D164)</f>
        <v>39444.29</v>
      </c>
      <c r="F164" s="6">
        <v>39444.29</v>
      </c>
    </row>
    <row r="165" spans="1:14" hidden="1" x14ac:dyDescent="0.3">
      <c r="A165" s="17">
        <v>42704</v>
      </c>
      <c r="B165" s="5" t="s">
        <v>41</v>
      </c>
      <c r="C165" s="36">
        <f>SUM(C162:C164)</f>
        <v>827089.42</v>
      </c>
      <c r="D165" s="36">
        <f>SUM(D162:D164)</f>
        <v>-265136.69</v>
      </c>
      <c r="E165" s="36">
        <f>SUM(E162:E164)</f>
        <v>561952.73</v>
      </c>
      <c r="F165" s="36">
        <v>561952.73</v>
      </c>
      <c r="G165" s="6">
        <f>E165-F165</f>
        <v>0</v>
      </c>
      <c r="H165" s="6"/>
    </row>
    <row r="166" spans="1:14" hidden="1" x14ac:dyDescent="0.3">
      <c r="A166" s="1">
        <v>42706</v>
      </c>
      <c r="B166" t="s">
        <v>24</v>
      </c>
      <c r="C166" s="6">
        <v>-8076.59</v>
      </c>
      <c r="D166" s="6">
        <v>-11227.84</v>
      </c>
      <c r="E166" s="6">
        <f>SUM(C166:D166)</f>
        <v>-19304.43</v>
      </c>
      <c r="F166" s="6">
        <v>-19304.43</v>
      </c>
      <c r="H166" s="6"/>
    </row>
    <row r="167" spans="1:14" hidden="1" x14ac:dyDescent="0.3">
      <c r="A167" s="1">
        <v>42712</v>
      </c>
      <c r="B167" t="s">
        <v>24</v>
      </c>
      <c r="C167" s="6">
        <v>-256.61</v>
      </c>
      <c r="D167" s="6">
        <v>-256.60000000000002</v>
      </c>
      <c r="E167" s="6">
        <f>SUM(C167:D167)</f>
        <v>-513.21</v>
      </c>
      <c r="F167" s="6">
        <v>-513.21</v>
      </c>
      <c r="H167" s="6"/>
    </row>
    <row r="168" spans="1:14" hidden="1" x14ac:dyDescent="0.3">
      <c r="A168" s="1">
        <v>42713</v>
      </c>
      <c r="B168" t="s">
        <v>87</v>
      </c>
      <c r="C168" s="6">
        <v>-29522.36</v>
      </c>
      <c r="D168" s="6"/>
      <c r="E168" s="6">
        <f t="shared" ref="E168:E172" si="13">SUM(C168:D168)</f>
        <v>-29522.36</v>
      </c>
      <c r="F168" s="6">
        <v>-29522.36</v>
      </c>
      <c r="H168" s="6"/>
    </row>
    <row r="169" spans="1:14" hidden="1" x14ac:dyDescent="0.3">
      <c r="A169" s="1">
        <v>42719</v>
      </c>
      <c r="B169" t="s">
        <v>24</v>
      </c>
      <c r="C169" s="6">
        <v>-57124.49</v>
      </c>
      <c r="D169" s="6">
        <v>-2443.83</v>
      </c>
      <c r="E169" s="6">
        <f t="shared" si="13"/>
        <v>-59568.32</v>
      </c>
      <c r="F169" s="6">
        <v>-59568.32</v>
      </c>
      <c r="H169" s="6"/>
    </row>
    <row r="170" spans="1:14" hidden="1" x14ac:dyDescent="0.3">
      <c r="A170" s="1">
        <v>42720</v>
      </c>
      <c r="B170" t="s">
        <v>24</v>
      </c>
      <c r="C170" s="6">
        <v>-510</v>
      </c>
      <c r="D170" s="6">
        <v>-510</v>
      </c>
      <c r="E170" s="6">
        <f t="shared" si="13"/>
        <v>-1020</v>
      </c>
      <c r="F170" s="6">
        <v>-1020</v>
      </c>
      <c r="H170" s="6"/>
    </row>
    <row r="171" spans="1:14" hidden="1" x14ac:dyDescent="0.3">
      <c r="A171" s="1">
        <v>42724</v>
      </c>
      <c r="B171" t="s">
        <v>88</v>
      </c>
      <c r="C171" s="6"/>
      <c r="D171" s="6">
        <v>15694.3</v>
      </c>
      <c r="E171" s="6">
        <f t="shared" si="13"/>
        <v>15694.3</v>
      </c>
      <c r="F171" s="6">
        <v>15694.3</v>
      </c>
      <c r="H171" s="6"/>
    </row>
    <row r="172" spans="1:14" hidden="1" x14ac:dyDescent="0.3">
      <c r="A172" s="1">
        <v>42727</v>
      </c>
      <c r="B172" t="s">
        <v>88</v>
      </c>
      <c r="C172" s="6">
        <v>12447</v>
      </c>
      <c r="D172" s="6">
        <v>6400</v>
      </c>
      <c r="E172" s="6">
        <f t="shared" si="13"/>
        <v>18847</v>
      </c>
      <c r="F172" s="6">
        <v>18847</v>
      </c>
      <c r="H172" s="6"/>
    </row>
    <row r="173" spans="1:14" hidden="1" x14ac:dyDescent="0.3">
      <c r="A173" s="17">
        <v>42735</v>
      </c>
      <c r="B173" s="5" t="s">
        <v>41</v>
      </c>
      <c r="C173" s="6">
        <f>SUM(C165:C172)</f>
        <v>744046.37000000011</v>
      </c>
      <c r="D173" s="6">
        <f t="shared" ref="D173:E173" si="14">SUM(D165:D172)</f>
        <v>-257480.66000000003</v>
      </c>
      <c r="E173" s="6">
        <f t="shared" si="14"/>
        <v>486565.70999999996</v>
      </c>
      <c r="F173" s="6">
        <f>SUM(F165:F172)</f>
        <v>486565.70999999996</v>
      </c>
      <c r="G173" s="6">
        <f>E173-F173</f>
        <v>0</v>
      </c>
      <c r="H173" s="6"/>
    </row>
    <row r="174" spans="1:14" hidden="1" x14ac:dyDescent="0.3">
      <c r="A174" s="1">
        <v>42741</v>
      </c>
      <c r="B174" t="s">
        <v>88</v>
      </c>
      <c r="C174" s="6">
        <f>7857.25+18810.5+12108+10271.75+94860</f>
        <v>143907.5</v>
      </c>
      <c r="D174" s="6"/>
      <c r="E174" s="6">
        <f>C174+D174</f>
        <v>143907.5</v>
      </c>
      <c r="F174" s="6">
        <v>143907.5</v>
      </c>
      <c r="H174" s="6"/>
    </row>
    <row r="175" spans="1:14" hidden="1" x14ac:dyDescent="0.3">
      <c r="A175" s="1">
        <v>42740</v>
      </c>
      <c r="B175" t="s">
        <v>24</v>
      </c>
      <c r="C175" s="6">
        <v>-121440.05</v>
      </c>
      <c r="D175" s="6">
        <v>-36736.339999999997</v>
      </c>
      <c r="E175" s="6">
        <f>C175+D175</f>
        <v>-158176.39000000001</v>
      </c>
      <c r="F175" s="6">
        <v>-158176.39000000001</v>
      </c>
      <c r="H175" s="6"/>
    </row>
    <row r="176" spans="1:14" hidden="1" x14ac:dyDescent="0.3">
      <c r="A176" s="1">
        <v>42758</v>
      </c>
      <c r="B176" t="s">
        <v>88</v>
      </c>
      <c r="C176" s="6">
        <v>10705.15</v>
      </c>
      <c r="D176" s="6">
        <v>12799.16</v>
      </c>
      <c r="E176" s="6">
        <f t="shared" ref="E176:E178" si="15">C176+D176</f>
        <v>23504.309999999998</v>
      </c>
      <c r="F176" s="6">
        <v>23504.31</v>
      </c>
      <c r="H176" s="6"/>
    </row>
    <row r="177" spans="1:8" hidden="1" x14ac:dyDescent="0.3">
      <c r="A177" s="27">
        <v>42766</v>
      </c>
      <c r="B177" s="12" t="s">
        <v>88</v>
      </c>
      <c r="C177" s="11">
        <v>6115.25</v>
      </c>
      <c r="D177" s="11"/>
      <c r="E177" s="6">
        <f t="shared" si="15"/>
        <v>6115.25</v>
      </c>
      <c r="F177" s="11">
        <v>6115.25</v>
      </c>
      <c r="H177" s="6"/>
    </row>
    <row r="178" spans="1:8" hidden="1" x14ac:dyDescent="0.3">
      <c r="A178" s="27">
        <v>42736</v>
      </c>
      <c r="B178" s="12" t="s">
        <v>90</v>
      </c>
      <c r="C178" s="11">
        <v>857.82</v>
      </c>
      <c r="D178" s="11"/>
      <c r="E178" s="6">
        <f t="shared" si="15"/>
        <v>857.82</v>
      </c>
      <c r="F178" s="11">
        <v>857.82</v>
      </c>
      <c r="H178" s="6"/>
    </row>
    <row r="179" spans="1:8" hidden="1" x14ac:dyDescent="0.3">
      <c r="A179" s="17">
        <v>42766</v>
      </c>
      <c r="B179" s="5" t="s">
        <v>41</v>
      </c>
      <c r="C179" s="29">
        <f>SUM(C173:C178)</f>
        <v>784192.04</v>
      </c>
      <c r="D179" s="29">
        <f>SUM(D173:D177)</f>
        <v>-281417.84000000003</v>
      </c>
      <c r="E179" s="29">
        <f>SUM(E173:E178)</f>
        <v>502774.19999999995</v>
      </c>
      <c r="F179" s="29">
        <f>SUM(F173:F178)</f>
        <v>502774.19999999995</v>
      </c>
      <c r="G179" s="6">
        <f>E179-F179</f>
        <v>0</v>
      </c>
      <c r="H179" s="6"/>
    </row>
    <row r="180" spans="1:8" hidden="1" x14ac:dyDescent="0.3">
      <c r="A180" s="28" t="s">
        <v>91</v>
      </c>
      <c r="B180" s="12" t="s">
        <v>88</v>
      </c>
      <c r="C180" s="11">
        <v>78317.23</v>
      </c>
      <c r="D180" s="11"/>
      <c r="E180" s="11">
        <f>SUM(C180:D180)</f>
        <v>78317.23</v>
      </c>
      <c r="F180" s="11">
        <v>78317.23</v>
      </c>
      <c r="H180" s="6"/>
    </row>
    <row r="181" spans="1:8" hidden="1" x14ac:dyDescent="0.3">
      <c r="A181" s="28" t="s">
        <v>91</v>
      </c>
      <c r="B181" s="12" t="s">
        <v>24</v>
      </c>
      <c r="C181" s="11">
        <v>-58888.55</v>
      </c>
      <c r="D181" s="11">
        <v>-39044.71</v>
      </c>
      <c r="E181" s="11">
        <f t="shared" ref="E181:E191" si="16">SUM(C181:D181)</f>
        <v>-97933.260000000009</v>
      </c>
      <c r="F181" s="11">
        <v>-97933.26</v>
      </c>
      <c r="H181" s="6"/>
    </row>
    <row r="182" spans="1:8" hidden="1" x14ac:dyDescent="0.3">
      <c r="A182" s="30" t="s">
        <v>91</v>
      </c>
      <c r="B182" s="5" t="s">
        <v>95</v>
      </c>
      <c r="C182" s="29">
        <f>SUM(C179:C181)</f>
        <v>803620.72</v>
      </c>
      <c r="D182" s="29">
        <f>SUM(D179:D181)</f>
        <v>-320462.55000000005</v>
      </c>
      <c r="E182" s="29">
        <f>SUM(E179:E181)</f>
        <v>483158.16999999993</v>
      </c>
      <c r="F182" s="29">
        <f>SUM(F179:F181)</f>
        <v>483158.16999999993</v>
      </c>
      <c r="G182" s="6">
        <f>E182-F182</f>
        <v>0</v>
      </c>
      <c r="H182" s="6"/>
    </row>
    <row r="183" spans="1:8" hidden="1" x14ac:dyDescent="0.3">
      <c r="A183" s="28" t="s">
        <v>93</v>
      </c>
      <c r="B183" s="12" t="s">
        <v>88</v>
      </c>
      <c r="C183" s="11">
        <v>20238.63</v>
      </c>
      <c r="D183" s="11"/>
      <c r="E183" s="11">
        <f t="shared" si="16"/>
        <v>20238.63</v>
      </c>
      <c r="F183" s="11">
        <v>20238.63</v>
      </c>
      <c r="H183" s="6"/>
    </row>
    <row r="184" spans="1:8" hidden="1" x14ac:dyDescent="0.3">
      <c r="A184" s="28" t="s">
        <v>94</v>
      </c>
      <c r="B184" s="12" t="s">
        <v>88</v>
      </c>
      <c r="C184" s="11">
        <v>57512.57</v>
      </c>
      <c r="D184" s="11"/>
      <c r="E184" s="11">
        <f t="shared" si="16"/>
        <v>57512.57</v>
      </c>
      <c r="F184" s="11">
        <v>57512.57</v>
      </c>
      <c r="H184" s="6"/>
    </row>
    <row r="185" spans="1:8" hidden="1" x14ac:dyDescent="0.3">
      <c r="A185" s="28" t="s">
        <v>94</v>
      </c>
      <c r="B185" s="12" t="s">
        <v>88</v>
      </c>
      <c r="C185" s="11">
        <v>18994.75</v>
      </c>
      <c r="D185" s="11"/>
      <c r="E185" s="11">
        <f t="shared" si="16"/>
        <v>18994.75</v>
      </c>
      <c r="F185" s="11">
        <v>18994.75</v>
      </c>
      <c r="H185" s="6"/>
    </row>
    <row r="186" spans="1:8" hidden="1" x14ac:dyDescent="0.3">
      <c r="A186" s="28" t="s">
        <v>94</v>
      </c>
      <c r="B186" s="12" t="s">
        <v>5</v>
      </c>
      <c r="C186" s="11">
        <v>-61131.9</v>
      </c>
      <c r="D186" s="11">
        <v>-40010.68</v>
      </c>
      <c r="E186" s="11">
        <f t="shared" si="16"/>
        <v>-101142.58</v>
      </c>
      <c r="F186" s="11">
        <v>-101142.58</v>
      </c>
      <c r="H186" s="6"/>
    </row>
    <row r="187" spans="1:8" hidden="1" x14ac:dyDescent="0.3">
      <c r="A187" s="30"/>
      <c r="B187" s="5" t="s">
        <v>96</v>
      </c>
      <c r="C187" s="29">
        <f>SUM(C182:C186)</f>
        <v>839234.7699999999</v>
      </c>
      <c r="D187" s="29">
        <f t="shared" ref="D187:F187" si="17">SUM(D182:D186)</f>
        <v>-360473.23000000004</v>
      </c>
      <c r="E187" s="29">
        <f t="shared" si="17"/>
        <v>478761.53999999986</v>
      </c>
      <c r="F187" s="29">
        <f t="shared" si="17"/>
        <v>478761.53999999986</v>
      </c>
      <c r="G187" s="6">
        <f>E187-F187</f>
        <v>0</v>
      </c>
      <c r="H187" s="6"/>
    </row>
    <row r="188" spans="1:8" hidden="1" x14ac:dyDescent="0.3">
      <c r="A188" s="28" t="s">
        <v>92</v>
      </c>
      <c r="B188" s="12" t="s">
        <v>88</v>
      </c>
      <c r="C188" s="11">
        <v>48806.11</v>
      </c>
      <c r="D188" s="11"/>
      <c r="E188" s="11">
        <f t="shared" si="16"/>
        <v>48806.11</v>
      </c>
      <c r="F188" s="11">
        <v>48806.11</v>
      </c>
      <c r="H188" s="6"/>
    </row>
    <row r="189" spans="1:8" hidden="1" x14ac:dyDescent="0.3">
      <c r="A189" s="28" t="s">
        <v>92</v>
      </c>
      <c r="B189" s="12" t="s">
        <v>5</v>
      </c>
      <c r="C189" s="11">
        <v>-45491.93</v>
      </c>
      <c r="D189" s="11">
        <v>-72715.41</v>
      </c>
      <c r="E189" s="11">
        <f>SUM(C189:D189)</f>
        <v>-118207.34</v>
      </c>
      <c r="F189" s="11">
        <v>-118207.34</v>
      </c>
      <c r="H189" s="6"/>
    </row>
    <row r="190" spans="1:8" hidden="1" x14ac:dyDescent="0.3">
      <c r="A190" s="28" t="s">
        <v>92</v>
      </c>
      <c r="B190" s="12" t="s">
        <v>26</v>
      </c>
      <c r="C190" s="11">
        <v>56589.57</v>
      </c>
      <c r="D190" s="11"/>
      <c r="E190" s="11">
        <f t="shared" si="16"/>
        <v>56589.57</v>
      </c>
      <c r="F190" s="11">
        <v>56589.57</v>
      </c>
      <c r="H190" s="6"/>
    </row>
    <row r="191" spans="1:8" hidden="1" x14ac:dyDescent="0.3">
      <c r="A191" s="28" t="s">
        <v>92</v>
      </c>
      <c r="B191" s="12" t="s">
        <v>105</v>
      </c>
      <c r="C191" s="11">
        <v>878.44</v>
      </c>
      <c r="D191" s="11"/>
      <c r="E191" s="11">
        <f t="shared" si="16"/>
        <v>878.44</v>
      </c>
      <c r="F191" s="11">
        <v>878.44</v>
      </c>
      <c r="H191" s="6"/>
    </row>
    <row r="192" spans="1:8" hidden="1" x14ac:dyDescent="0.3">
      <c r="A192" s="30" t="s">
        <v>92</v>
      </c>
      <c r="B192" s="5" t="s">
        <v>97</v>
      </c>
      <c r="C192" s="29">
        <f>SUM(C187:C191)</f>
        <v>900016.95999999973</v>
      </c>
      <c r="D192" s="29">
        <f t="shared" ref="D192:E192" si="18">SUM(D187:D191)</f>
        <v>-433188.64</v>
      </c>
      <c r="E192" s="29">
        <f t="shared" si="18"/>
        <v>466828.31999999995</v>
      </c>
      <c r="F192" s="29">
        <f>SUM(F187:F191)</f>
        <v>466828.31999999995</v>
      </c>
      <c r="G192" s="6">
        <f>F192-E192</f>
        <v>0</v>
      </c>
      <c r="H192" s="6"/>
    </row>
    <row r="193" spans="1:9" hidden="1" x14ac:dyDescent="0.3">
      <c r="A193" s="28" t="s">
        <v>98</v>
      </c>
      <c r="B193" s="12" t="s">
        <v>88</v>
      </c>
      <c r="C193" s="11">
        <f>119294.04+31093.24+18763.8</f>
        <v>169151.08</v>
      </c>
      <c r="D193" s="11"/>
      <c r="E193" s="11">
        <f>SUM(C193:D193)</f>
        <v>169151.08</v>
      </c>
      <c r="F193" s="11">
        <v>169151.08</v>
      </c>
      <c r="H193" s="6"/>
    </row>
    <row r="194" spans="1:9" hidden="1" x14ac:dyDescent="0.3">
      <c r="A194" s="28" t="s">
        <v>98</v>
      </c>
      <c r="B194" s="12" t="s">
        <v>5</v>
      </c>
      <c r="C194" s="11">
        <f>-63177.78+3.56</f>
        <v>-63174.22</v>
      </c>
      <c r="D194" s="11">
        <v>-53620.62</v>
      </c>
      <c r="E194" s="11">
        <f>SUM(C194:D194)</f>
        <v>-116794.84</v>
      </c>
      <c r="F194" s="11">
        <v>-116794.84</v>
      </c>
      <c r="H194" s="6"/>
    </row>
    <row r="195" spans="1:9" hidden="1" x14ac:dyDescent="0.3">
      <c r="A195" s="30" t="s">
        <v>98</v>
      </c>
      <c r="B195" s="5" t="s">
        <v>103</v>
      </c>
      <c r="C195" s="29">
        <f>SUM(C192:C194)</f>
        <v>1005993.8199999998</v>
      </c>
      <c r="D195" s="29">
        <f>SUM(D192:D194)</f>
        <v>-486809.26</v>
      </c>
      <c r="E195" s="29">
        <f>SUM(E192:E194)</f>
        <v>519184.55999999994</v>
      </c>
      <c r="F195" s="29">
        <f>SUM(F192:F194)</f>
        <v>519184.55999999994</v>
      </c>
      <c r="G195" s="6">
        <f>E195-F195</f>
        <v>0</v>
      </c>
      <c r="H195" s="6"/>
    </row>
    <row r="196" spans="1:9" hidden="1" x14ac:dyDescent="0.3">
      <c r="A196" s="28" t="s">
        <v>135</v>
      </c>
      <c r="B196" s="12" t="s">
        <v>88</v>
      </c>
      <c r="C196" s="11">
        <f>6503+13670+25931.52+6122.5</f>
        <v>52227.020000000004</v>
      </c>
      <c r="D196" s="11"/>
      <c r="E196" s="11">
        <f>SUM(C196:D196)</f>
        <v>52227.020000000004</v>
      </c>
      <c r="F196" s="11">
        <v>52227.02</v>
      </c>
      <c r="H196" s="6"/>
    </row>
    <row r="197" spans="1:9" hidden="1" x14ac:dyDescent="0.3">
      <c r="A197" s="37" t="s">
        <v>135</v>
      </c>
      <c r="B197" s="38" t="s">
        <v>5</v>
      </c>
      <c r="C197" s="39">
        <v>-24627.65</v>
      </c>
      <c r="D197" s="39">
        <v>-64607.55</v>
      </c>
      <c r="E197" s="11">
        <f>SUM(C197:D197)</f>
        <v>-89235.200000000012</v>
      </c>
      <c r="F197" s="11">
        <v>-89235.199999999997</v>
      </c>
      <c r="I197" s="6"/>
    </row>
    <row r="198" spans="1:9" hidden="1" x14ac:dyDescent="0.3">
      <c r="A198" s="37" t="s">
        <v>135</v>
      </c>
      <c r="B198" s="38" t="s">
        <v>5</v>
      </c>
      <c r="C198" s="39">
        <v>-26540.02</v>
      </c>
      <c r="D198" s="39">
        <v>-4668.9399999999996</v>
      </c>
      <c r="E198" s="11">
        <f>SUM(C198:D198)</f>
        <v>-31208.959999999999</v>
      </c>
      <c r="F198" s="11">
        <v>-31208.959999999999</v>
      </c>
      <c r="H198" s="6"/>
    </row>
    <row r="199" spans="1:9" hidden="1" x14ac:dyDescent="0.3">
      <c r="A199" s="37" t="s">
        <v>135</v>
      </c>
      <c r="B199" s="38" t="s">
        <v>140</v>
      </c>
      <c r="C199" s="39">
        <v>959.51</v>
      </c>
      <c r="D199" s="39"/>
      <c r="E199" s="11">
        <v>959.51</v>
      </c>
      <c r="F199" s="11">
        <v>959.51</v>
      </c>
      <c r="H199" s="6"/>
    </row>
    <row r="200" spans="1:9" x14ac:dyDescent="0.3">
      <c r="A200" s="46" t="s">
        <v>135</v>
      </c>
      <c r="B200" s="47" t="s">
        <v>137</v>
      </c>
      <c r="C200" s="44">
        <f>SUM(C195:C199)</f>
        <v>1008012.6799999998</v>
      </c>
      <c r="D200" s="44">
        <f t="shared" ref="D200:F200" si="19">SUM(D195:D199)</f>
        <v>-556085.75</v>
      </c>
      <c r="E200" s="44">
        <f t="shared" si="19"/>
        <v>451926.92999999993</v>
      </c>
      <c r="F200" s="44">
        <f t="shared" si="19"/>
        <v>451926.92999999993</v>
      </c>
      <c r="G200" s="11">
        <f>F200-E200</f>
        <v>0</v>
      </c>
      <c r="H200" s="6"/>
    </row>
    <row r="201" spans="1:9" x14ac:dyDescent="0.3">
      <c r="A201" s="37" t="s">
        <v>138</v>
      </c>
      <c r="B201" s="45" t="s">
        <v>26</v>
      </c>
      <c r="C201" s="39">
        <f>118022.36+14735.31+10112.17+21820.65+120373.34+95.06+8607.3</f>
        <v>293766.19</v>
      </c>
      <c r="D201" s="39">
        <v>1671.97</v>
      </c>
      <c r="E201" s="39">
        <f>SUM(C201:D201)</f>
        <v>295438.15999999997</v>
      </c>
      <c r="F201" s="6">
        <v>295438.15999999997</v>
      </c>
      <c r="H201" s="6"/>
    </row>
    <row r="202" spans="1:9" x14ac:dyDescent="0.3">
      <c r="A202" s="37" t="s">
        <v>138</v>
      </c>
      <c r="B202" s="45" t="s">
        <v>72</v>
      </c>
      <c r="C202" s="11">
        <f>-91781.63</f>
        <v>-91781.63</v>
      </c>
      <c r="D202" s="39">
        <f>-106304.27</f>
        <v>-106304.27</v>
      </c>
      <c r="E202" s="39">
        <f>C202+D202</f>
        <v>-198085.90000000002</v>
      </c>
      <c r="F202" s="6">
        <v>-198085.9</v>
      </c>
      <c r="H202" s="6"/>
    </row>
    <row r="203" spans="1:9" x14ac:dyDescent="0.3">
      <c r="A203" s="46" t="s">
        <v>138</v>
      </c>
      <c r="B203" s="49" t="s">
        <v>141</v>
      </c>
      <c r="C203" s="29">
        <f>SUM(C200:C202)</f>
        <v>1209997.2399999998</v>
      </c>
      <c r="D203" s="29">
        <f>SUM(D200:D202)</f>
        <v>-660718.05000000005</v>
      </c>
      <c r="E203" s="29">
        <f>SUM(E200:E202)</f>
        <v>549279.18999999983</v>
      </c>
      <c r="F203" s="29">
        <f>SUM(F200:F202)</f>
        <v>549279.18999999983</v>
      </c>
      <c r="H203" s="6"/>
    </row>
    <row r="204" spans="1:9" x14ac:dyDescent="0.3">
      <c r="A204" s="37" t="s">
        <v>142</v>
      </c>
      <c r="B204" s="45" t="s">
        <v>26</v>
      </c>
      <c r="C204" s="11">
        <v>68817.820000000007</v>
      </c>
      <c r="D204" s="39">
        <v>42122.36</v>
      </c>
      <c r="E204" s="39">
        <f>SUM(C204:D204)</f>
        <v>110940.18000000001</v>
      </c>
      <c r="F204" s="6">
        <v>109352.48</v>
      </c>
      <c r="H204" s="6"/>
    </row>
    <row r="205" spans="1:9" x14ac:dyDescent="0.3">
      <c r="A205" s="37" t="s">
        <v>142</v>
      </c>
      <c r="B205" s="45" t="s">
        <v>75</v>
      </c>
      <c r="C205" s="11">
        <v>-17203.97</v>
      </c>
      <c r="D205" s="39">
        <v>-36636.71</v>
      </c>
      <c r="E205" s="39">
        <f>SUM(C205:D205)</f>
        <v>-53840.68</v>
      </c>
      <c r="F205" s="6">
        <v>-53840.68</v>
      </c>
      <c r="H205" s="6"/>
    </row>
    <row r="206" spans="1:9" x14ac:dyDescent="0.3">
      <c r="A206" s="46" t="s">
        <v>142</v>
      </c>
      <c r="B206" s="49" t="s">
        <v>143</v>
      </c>
      <c r="C206" s="29">
        <f>SUM(C203:C205)</f>
        <v>1261611.0899999999</v>
      </c>
      <c r="D206" s="29">
        <f t="shared" ref="D206:F206" si="20">SUM(D203:D205)</f>
        <v>-655232.4</v>
      </c>
      <c r="E206" s="29">
        <f t="shared" si="20"/>
        <v>606378.68999999983</v>
      </c>
      <c r="F206" s="29">
        <f t="shared" si="20"/>
        <v>604790.98999999976</v>
      </c>
      <c r="G206" s="6">
        <f>E206-F206</f>
        <v>1587.7000000000698</v>
      </c>
      <c r="H206" s="6" t="s">
        <v>144</v>
      </c>
    </row>
    <row r="207" spans="1:9" x14ac:dyDescent="0.3">
      <c r="A207" s="37" t="s">
        <v>145</v>
      </c>
      <c r="B207" s="45" t="s">
        <v>26</v>
      </c>
      <c r="C207" s="11">
        <v>29057.11</v>
      </c>
      <c r="D207" s="39">
        <v>38705.339999999997</v>
      </c>
      <c r="E207" s="39">
        <f>SUM(C207:D207)</f>
        <v>67762.45</v>
      </c>
      <c r="F207" s="6">
        <v>69350.149999999994</v>
      </c>
      <c r="H207" s="6"/>
    </row>
    <row r="208" spans="1:9" x14ac:dyDescent="0.3">
      <c r="A208" s="37" t="s">
        <v>145</v>
      </c>
      <c r="B208" s="45" t="s">
        <v>78</v>
      </c>
      <c r="C208" s="11">
        <v>-222578.03</v>
      </c>
      <c r="D208" s="39">
        <v>-10325.64</v>
      </c>
      <c r="E208" s="39">
        <f>SUM(C208:D208)</f>
        <v>-232903.66999999998</v>
      </c>
      <c r="F208" s="6">
        <v>-232903.67</v>
      </c>
      <c r="H208" s="6"/>
    </row>
    <row r="209" spans="1:8" x14ac:dyDescent="0.3">
      <c r="A209" s="37" t="s">
        <v>151</v>
      </c>
      <c r="B209" s="45" t="s">
        <v>156</v>
      </c>
      <c r="C209" s="11">
        <v>1699.06</v>
      </c>
      <c r="D209" s="39"/>
      <c r="E209" s="39">
        <v>1699.06</v>
      </c>
      <c r="F209" s="6">
        <v>1699.06</v>
      </c>
      <c r="H209" s="6"/>
    </row>
    <row r="210" spans="1:8" x14ac:dyDescent="0.3">
      <c r="A210" s="46" t="s">
        <v>145</v>
      </c>
      <c r="B210" s="49" t="s">
        <v>147</v>
      </c>
      <c r="C210" s="29">
        <f>SUM(C206:C209)</f>
        <v>1069789.23</v>
      </c>
      <c r="D210" s="29">
        <f t="shared" ref="D210:F210" si="21">SUM(D206:D209)</f>
        <v>-626852.70000000007</v>
      </c>
      <c r="E210" s="29">
        <f t="shared" si="21"/>
        <v>442936.5299999998</v>
      </c>
      <c r="F210" s="29">
        <f t="shared" si="21"/>
        <v>442936.52999999974</v>
      </c>
      <c r="G210" s="6">
        <f>F210-E210</f>
        <v>0</v>
      </c>
      <c r="H210" s="6" t="s">
        <v>146</v>
      </c>
    </row>
    <row r="211" spans="1:8" x14ac:dyDescent="0.3">
      <c r="A211" s="37" t="s">
        <v>148</v>
      </c>
      <c r="B211" s="45" t="s">
        <v>81</v>
      </c>
      <c r="C211" s="11">
        <v>-73201.39</v>
      </c>
      <c r="D211" s="39">
        <v>-7466.97</v>
      </c>
      <c r="E211" s="39">
        <f>SUM(C211:D211)</f>
        <v>-80668.36</v>
      </c>
      <c r="F211" s="6">
        <v>-80668.36</v>
      </c>
      <c r="H211" s="6"/>
    </row>
    <row r="212" spans="1:8" x14ac:dyDescent="0.3">
      <c r="A212" s="37" t="s">
        <v>148</v>
      </c>
      <c r="B212" s="45" t="s">
        <v>81</v>
      </c>
      <c r="C212" s="11">
        <v>-8836.85</v>
      </c>
      <c r="D212" s="39">
        <v>-27827.38</v>
      </c>
      <c r="E212" s="39">
        <f>SUM(C212:D212)</f>
        <v>-36664.230000000003</v>
      </c>
      <c r="F212" s="6">
        <v>-36664.230000000003</v>
      </c>
      <c r="H212" s="6"/>
    </row>
    <row r="213" spans="1:8" x14ac:dyDescent="0.3">
      <c r="A213" s="37" t="s">
        <v>148</v>
      </c>
      <c r="B213" s="45" t="s">
        <v>81</v>
      </c>
      <c r="C213" s="11">
        <v>-2552.27</v>
      </c>
      <c r="D213" s="39">
        <v>-8257.5</v>
      </c>
      <c r="E213" s="39">
        <f>SUM(C213:D213)</f>
        <v>-10809.77</v>
      </c>
      <c r="F213" s="6">
        <v>-10809.77</v>
      </c>
      <c r="H213" s="6"/>
    </row>
    <row r="214" spans="1:8" x14ac:dyDescent="0.3">
      <c r="A214" s="37" t="s">
        <v>148</v>
      </c>
      <c r="B214" s="45" t="s">
        <v>81</v>
      </c>
      <c r="C214" s="11">
        <v>-4515.34</v>
      </c>
      <c r="D214" s="39">
        <v>-344.81</v>
      </c>
      <c r="E214" s="39">
        <f>SUM(C214:D214)</f>
        <v>-4860.1500000000005</v>
      </c>
      <c r="F214" s="6">
        <v>-4860.1499999999996</v>
      </c>
      <c r="H214" s="6"/>
    </row>
    <row r="215" spans="1:8" x14ac:dyDescent="0.3">
      <c r="A215" s="37" t="s">
        <v>148</v>
      </c>
      <c r="B215" s="45" t="s">
        <v>150</v>
      </c>
      <c r="C215" s="11"/>
      <c r="D215" s="39">
        <v>39842.050000000003</v>
      </c>
      <c r="E215" s="39">
        <f>SUM(C215:D215)</f>
        <v>39842.050000000003</v>
      </c>
      <c r="F215" s="6">
        <v>39842.050000000003</v>
      </c>
      <c r="H215" s="6"/>
    </row>
    <row r="216" spans="1:8" x14ac:dyDescent="0.3">
      <c r="A216" s="46" t="s">
        <v>148</v>
      </c>
      <c r="B216" s="49" t="s">
        <v>149</v>
      </c>
      <c r="C216" s="29">
        <f>SUM(C210:C215)</f>
        <v>980683.38</v>
      </c>
      <c r="D216" s="29">
        <f t="shared" ref="D216:F216" si="22">SUM(D210:D215)</f>
        <v>-630907.31000000006</v>
      </c>
      <c r="E216" s="29">
        <f t="shared" si="22"/>
        <v>349776.06999999977</v>
      </c>
      <c r="F216" s="29">
        <f t="shared" si="22"/>
        <v>349776.06999999972</v>
      </c>
      <c r="G216" s="6">
        <f>E216-F216</f>
        <v>0</v>
      </c>
      <c r="H216" s="6" t="s">
        <v>146</v>
      </c>
    </row>
    <row r="217" spans="1:8" x14ac:dyDescent="0.3">
      <c r="A217" s="37" t="s">
        <v>151</v>
      </c>
      <c r="B217" s="45" t="s">
        <v>88</v>
      </c>
      <c r="C217" s="11">
        <f>781+29550.45</f>
        <v>30331.45</v>
      </c>
      <c r="D217" s="39"/>
      <c r="E217" s="39">
        <f>SUM(C217:D217)</f>
        <v>30331.45</v>
      </c>
      <c r="F217" s="6">
        <v>30331.45</v>
      </c>
      <c r="H217" s="6"/>
    </row>
    <row r="218" spans="1:8" x14ac:dyDescent="0.3">
      <c r="A218" s="37" t="s">
        <v>151</v>
      </c>
      <c r="B218" s="45" t="s">
        <v>83</v>
      </c>
      <c r="C218" s="11">
        <v>-64046.25</v>
      </c>
      <c r="D218" s="39">
        <v>-30200.6</v>
      </c>
      <c r="E218" s="39">
        <f>SUM(C218:D218)</f>
        <v>-94246.85</v>
      </c>
      <c r="F218" s="6">
        <v>-94246.85</v>
      </c>
      <c r="H218" s="6"/>
    </row>
    <row r="219" spans="1:8" x14ac:dyDescent="0.3">
      <c r="A219" s="37" t="s">
        <v>151</v>
      </c>
      <c r="B219" s="45" t="s">
        <v>88</v>
      </c>
      <c r="C219" s="11">
        <v>5636.5</v>
      </c>
      <c r="D219" s="39">
        <v>49340</v>
      </c>
      <c r="E219" s="39">
        <f>SUM(C219:D219)</f>
        <v>54976.5</v>
      </c>
      <c r="F219" s="6">
        <v>54976.5</v>
      </c>
      <c r="H219" s="6"/>
    </row>
    <row r="220" spans="1:8" x14ac:dyDescent="0.3">
      <c r="A220" s="30" t="s">
        <v>151</v>
      </c>
      <c r="B220" s="51" t="s">
        <v>153</v>
      </c>
      <c r="C220" s="29">
        <f>SUM(C216:C219)</f>
        <v>952605.08</v>
      </c>
      <c r="D220" s="29">
        <f>SUM(D216:D219)</f>
        <v>-611767.91</v>
      </c>
      <c r="E220" s="29">
        <f>SUM(E216:E219)</f>
        <v>340837.16999999981</v>
      </c>
      <c r="F220" s="29">
        <f>SUM(F216:F219)</f>
        <v>340837.16999999969</v>
      </c>
      <c r="G220" s="6">
        <f>E220-F220</f>
        <v>0</v>
      </c>
      <c r="H220" s="6"/>
    </row>
    <row r="221" spans="1:8" s="12" customFormat="1" x14ac:dyDescent="0.3">
      <c r="A221" s="28" t="s">
        <v>154</v>
      </c>
      <c r="B221" s="45" t="s">
        <v>155</v>
      </c>
      <c r="C221" s="11">
        <v>-104511.82</v>
      </c>
      <c r="D221" s="11">
        <v>-41847.58</v>
      </c>
      <c r="E221" s="11">
        <f>SUM(C221:D221)</f>
        <v>-146359.40000000002</v>
      </c>
      <c r="F221" s="11">
        <v>-146359.4</v>
      </c>
      <c r="G221" s="11"/>
      <c r="H221" s="11"/>
    </row>
    <row r="222" spans="1:8" s="12" customFormat="1" x14ac:dyDescent="0.3">
      <c r="A222" s="28" t="s">
        <v>154</v>
      </c>
      <c r="B222" s="45" t="s">
        <v>157</v>
      </c>
      <c r="C222" s="11">
        <f>98750.76</f>
        <v>98750.76</v>
      </c>
      <c r="D222" s="11"/>
      <c r="E222" s="11">
        <f>SUM(C222:D222)</f>
        <v>98750.76</v>
      </c>
      <c r="F222" s="11">
        <v>212612.04</v>
      </c>
      <c r="G222" s="11"/>
      <c r="H222" s="11"/>
    </row>
    <row r="223" spans="1:8" s="12" customFormat="1" x14ac:dyDescent="0.3">
      <c r="A223" s="30" t="s">
        <v>154</v>
      </c>
      <c r="B223" s="49" t="s">
        <v>158</v>
      </c>
      <c r="C223" s="29">
        <f>SUM(C220:C222)</f>
        <v>946844.02</v>
      </c>
      <c r="D223" s="29">
        <f t="shared" ref="D223:E223" si="23">SUM(D220:D222)</f>
        <v>-653615.49</v>
      </c>
      <c r="E223" s="29">
        <f t="shared" si="23"/>
        <v>293228.5299999998</v>
      </c>
      <c r="F223" s="29">
        <f>SUM(F220:F222)</f>
        <v>407089.80999999971</v>
      </c>
      <c r="G223" s="11">
        <f>F223-E223</f>
        <v>113861.27999999991</v>
      </c>
      <c r="H223" s="11" t="s">
        <v>144</v>
      </c>
    </row>
    <row r="224" spans="1:8" s="12" customFormat="1" x14ac:dyDescent="0.3">
      <c r="A224" s="28" t="s">
        <v>159</v>
      </c>
      <c r="B224" s="45" t="s">
        <v>160</v>
      </c>
      <c r="C224" s="11">
        <v>140837.84</v>
      </c>
      <c r="D224" s="11">
        <v>7458.39</v>
      </c>
      <c r="E224" s="11">
        <f>SUM(C224:D224)</f>
        <v>148296.23000000001</v>
      </c>
      <c r="F224" s="11">
        <v>148296.23000000001</v>
      </c>
      <c r="G224" s="11"/>
      <c r="H224" s="11"/>
    </row>
    <row r="225" spans="1:8" s="12" customFormat="1" x14ac:dyDescent="0.3">
      <c r="A225" s="28" t="s">
        <v>159</v>
      </c>
      <c r="B225" s="45" t="s">
        <v>161</v>
      </c>
      <c r="C225" s="11">
        <v>-58079.83</v>
      </c>
      <c r="D225" s="11">
        <v>-13070.55</v>
      </c>
      <c r="E225" s="11">
        <f>SUM(C225:D225)</f>
        <v>-71150.38</v>
      </c>
      <c r="F225" s="11">
        <v>71150.38</v>
      </c>
      <c r="G225" s="11"/>
      <c r="H225" s="11"/>
    </row>
    <row r="226" spans="1:8" s="12" customFormat="1" x14ac:dyDescent="0.3">
      <c r="A226" s="28" t="s">
        <v>159</v>
      </c>
      <c r="B226" s="45" t="s">
        <v>165</v>
      </c>
      <c r="C226" s="11">
        <v>1026.21</v>
      </c>
      <c r="D226" s="11"/>
      <c r="E226" s="11">
        <f>SUM(C226:D226)</f>
        <v>1026.21</v>
      </c>
      <c r="F226" s="11">
        <v>1026.21</v>
      </c>
      <c r="G226" s="11"/>
      <c r="H226" s="11"/>
    </row>
    <row r="227" spans="1:8" s="12" customFormat="1" x14ac:dyDescent="0.3">
      <c r="A227" s="30" t="s">
        <v>159</v>
      </c>
      <c r="B227" s="49" t="s">
        <v>162</v>
      </c>
      <c r="C227" s="29">
        <f>SUM(C223:C226)</f>
        <v>1030628.2400000001</v>
      </c>
      <c r="D227" s="29">
        <f t="shared" ref="D227" si="24">SUM(D223:D225)</f>
        <v>-659227.65</v>
      </c>
      <c r="E227" s="29">
        <f>SUM(E223:E226)</f>
        <v>371400.58999999979</v>
      </c>
      <c r="F227" s="29">
        <f>F223-G223+F224-F225+F226</f>
        <v>371400.58999999979</v>
      </c>
      <c r="G227" s="11"/>
      <c r="H227" s="11"/>
    </row>
    <row r="228" spans="1:8" s="12" customFormat="1" x14ac:dyDescent="0.3">
      <c r="A228" s="28" t="s">
        <v>163</v>
      </c>
      <c r="B228" s="45" t="s">
        <v>164</v>
      </c>
      <c r="C228" s="11">
        <f>-23297.54+-51852.94+-22662.77+-78076.37</f>
        <v>-175889.62</v>
      </c>
      <c r="D228" s="11">
        <f>-21593.23+-25289.41+-33083.54+-21019.37</f>
        <v>-100985.54999999999</v>
      </c>
      <c r="E228" s="11">
        <f>SUM(C228:D228)</f>
        <v>-276875.17</v>
      </c>
      <c r="F228" s="11">
        <v>-276875.17</v>
      </c>
      <c r="G228" s="11"/>
      <c r="H228" s="11"/>
    </row>
    <row r="229" spans="1:8" s="12" customFormat="1" x14ac:dyDescent="0.3">
      <c r="A229" s="30" t="s">
        <v>163</v>
      </c>
      <c r="B229" s="49" t="s">
        <v>95</v>
      </c>
      <c r="C229" s="29">
        <f>SUM(C227:C228)</f>
        <v>854738.62000000011</v>
      </c>
      <c r="D229" s="29">
        <f t="shared" ref="D229:E229" si="25">SUM(D227:D228)</f>
        <v>-760213.2</v>
      </c>
      <c r="E229" s="29">
        <f t="shared" si="25"/>
        <v>94525.419999999809</v>
      </c>
      <c r="F229" s="29">
        <f>SUM(F227:F228)</f>
        <v>94525.419999999809</v>
      </c>
      <c r="G229" s="11">
        <f>E229-F229</f>
        <v>0</v>
      </c>
      <c r="H229" s="11" t="s">
        <v>146</v>
      </c>
    </row>
    <row r="230" spans="1:8" s="12" customFormat="1" x14ac:dyDescent="0.3">
      <c r="A230" s="28" t="s">
        <v>167</v>
      </c>
      <c r="B230" s="45" t="s">
        <v>168</v>
      </c>
      <c r="C230" s="11">
        <v>188918.71</v>
      </c>
      <c r="D230" s="11">
        <v>1431.31</v>
      </c>
      <c r="E230" s="11">
        <f>SUM(C230:D230)</f>
        <v>190350.02</v>
      </c>
      <c r="F230" s="11">
        <v>69873.91</v>
      </c>
      <c r="G230" s="11"/>
      <c r="H230" s="11"/>
    </row>
    <row r="231" spans="1:8" s="12" customFormat="1" x14ac:dyDescent="0.3">
      <c r="A231" s="28" t="s">
        <v>167</v>
      </c>
      <c r="B231" s="45" t="s">
        <v>169</v>
      </c>
      <c r="C231" s="11">
        <v>-15796.23</v>
      </c>
      <c r="D231" s="11">
        <v>-21173.03</v>
      </c>
      <c r="E231" s="11">
        <f>SUM(C231:D231)</f>
        <v>-36969.259999999995</v>
      </c>
      <c r="F231" s="11">
        <v>-36969.26</v>
      </c>
      <c r="G231" s="11"/>
      <c r="H231" s="11"/>
    </row>
    <row r="232" spans="1:8" s="12" customFormat="1" x14ac:dyDescent="0.3">
      <c r="A232" s="30" t="s">
        <v>167</v>
      </c>
      <c r="B232" s="49" t="s">
        <v>96</v>
      </c>
      <c r="C232" s="29">
        <f>SUM(C229:C231)</f>
        <v>1027861.1000000001</v>
      </c>
      <c r="D232" s="29">
        <f>SUM(D229:D231)</f>
        <v>-779954.91999999993</v>
      </c>
      <c r="E232" s="29">
        <f>SUM(E229:E231)</f>
        <v>247906.17999999982</v>
      </c>
      <c r="F232" s="29">
        <f>SUM(F229:F231)</f>
        <v>127430.0699999998</v>
      </c>
      <c r="G232" s="11">
        <f>E232-F232</f>
        <v>120476.11000000002</v>
      </c>
      <c r="H232" s="11" t="s">
        <v>144</v>
      </c>
    </row>
    <row r="233" spans="1:8" s="12" customFormat="1" x14ac:dyDescent="0.3">
      <c r="A233" s="28" t="s">
        <v>170</v>
      </c>
      <c r="B233" s="45" t="s">
        <v>171</v>
      </c>
      <c r="C233" s="11">
        <f>-64227.85+-49638.9+-1020.46</f>
        <v>-114887.21</v>
      </c>
      <c r="D233" s="11">
        <f>-71658.022+-15336.56+-1020.46</f>
        <v>-88015.042000000001</v>
      </c>
      <c r="E233" s="11">
        <f>SUM(C233:D233)</f>
        <v>-202902.25200000001</v>
      </c>
      <c r="F233" s="11">
        <v>-202902.25</v>
      </c>
      <c r="G233" s="11"/>
      <c r="H233" s="11"/>
    </row>
    <row r="234" spans="1:8" s="12" customFormat="1" x14ac:dyDescent="0.3">
      <c r="A234" s="28" t="s">
        <v>170</v>
      </c>
      <c r="B234" s="45" t="s">
        <v>172</v>
      </c>
      <c r="C234" s="11">
        <v>2263.44</v>
      </c>
      <c r="D234" s="11">
        <v>41096.519999999997</v>
      </c>
      <c r="E234" s="11">
        <f>SUM(C234:D234)</f>
        <v>43359.96</v>
      </c>
      <c r="F234" s="11">
        <f>43359.96+120476.11</f>
        <v>163836.07</v>
      </c>
      <c r="G234" s="11"/>
      <c r="H234" s="11"/>
    </row>
    <row r="235" spans="1:8" s="12" customFormat="1" x14ac:dyDescent="0.3">
      <c r="A235" s="28" t="s">
        <v>170</v>
      </c>
      <c r="B235" s="45" t="s">
        <v>172</v>
      </c>
      <c r="C235" s="11">
        <v>94481.88</v>
      </c>
      <c r="D235" s="11">
        <v>248411.97</v>
      </c>
      <c r="E235" s="11">
        <f>SUM(C235:D235)</f>
        <v>342893.85</v>
      </c>
      <c r="F235" s="11">
        <v>342893.85</v>
      </c>
      <c r="G235" s="11"/>
      <c r="H235" s="11"/>
    </row>
    <row r="236" spans="1:8" s="12" customFormat="1" x14ac:dyDescent="0.3">
      <c r="A236" s="28" t="s">
        <v>170</v>
      </c>
      <c r="B236" s="45" t="s">
        <v>172</v>
      </c>
      <c r="C236" s="11"/>
      <c r="D236" s="11">
        <v>15959.94</v>
      </c>
      <c r="E236" s="11">
        <f>SUM(C236:D236)</f>
        <v>15959.94</v>
      </c>
      <c r="F236" s="11">
        <v>15959.94</v>
      </c>
      <c r="G236" s="11"/>
      <c r="H236" s="11"/>
    </row>
    <row r="237" spans="1:8" s="12" customFormat="1" x14ac:dyDescent="0.3">
      <c r="A237" s="28" t="s">
        <v>170</v>
      </c>
      <c r="B237" s="45" t="s">
        <v>176</v>
      </c>
      <c r="C237" s="11">
        <v>709.25</v>
      </c>
      <c r="D237" s="11"/>
      <c r="E237" s="11">
        <f>SUM(C237:D237)</f>
        <v>709.25</v>
      </c>
      <c r="F237" s="11">
        <v>709.25</v>
      </c>
      <c r="G237" s="11"/>
      <c r="H237" s="11"/>
    </row>
    <row r="238" spans="1:8" s="12" customFormat="1" x14ac:dyDescent="0.3">
      <c r="A238" s="30" t="s">
        <v>170</v>
      </c>
      <c r="B238" s="49" t="s">
        <v>97</v>
      </c>
      <c r="C238" s="29">
        <f>SUM(C232:C237)</f>
        <v>1010428.4600000001</v>
      </c>
      <c r="D238" s="29">
        <f t="shared" ref="D238:F238" si="26">SUM(D232:D237)</f>
        <v>-562501.53200000001</v>
      </c>
      <c r="E238" s="29">
        <f>C238+D238</f>
        <v>447926.92800000007</v>
      </c>
      <c r="F238" s="29">
        <f t="shared" si="26"/>
        <v>447926.92999999976</v>
      </c>
      <c r="G238" s="11">
        <f>F238-E238</f>
        <v>1.9999996875412762E-3</v>
      </c>
      <c r="H238" s="11" t="s">
        <v>146</v>
      </c>
    </row>
    <row r="239" spans="1:8" s="12" customFormat="1" x14ac:dyDescent="0.3">
      <c r="A239" s="28" t="s">
        <v>173</v>
      </c>
      <c r="B239" s="45" t="s">
        <v>174</v>
      </c>
      <c r="C239" s="11">
        <v>-91574.58</v>
      </c>
      <c r="D239" s="11">
        <v>-65183.69</v>
      </c>
      <c r="E239" s="11">
        <f>SUM(C239:D239)</f>
        <v>-156758.27000000002</v>
      </c>
      <c r="F239" s="11">
        <v>-151138.37</v>
      </c>
      <c r="G239" s="11"/>
      <c r="H239" s="11"/>
    </row>
    <row r="240" spans="1:8" s="12" customFormat="1" x14ac:dyDescent="0.3">
      <c r="A240" s="28" t="s">
        <v>173</v>
      </c>
      <c r="B240" s="45" t="s">
        <v>175</v>
      </c>
      <c r="C240" s="11">
        <f>28699.39+17217.26+23738.41</f>
        <v>69655.06</v>
      </c>
      <c r="D240" s="11"/>
      <c r="E240" s="11">
        <f>SUM(C240:D240)</f>
        <v>69655.06</v>
      </c>
      <c r="F240" s="11">
        <v>69655.06</v>
      </c>
      <c r="G240" s="11"/>
      <c r="H240" s="11"/>
    </row>
    <row r="241" spans="1:8" s="12" customFormat="1" x14ac:dyDescent="0.3">
      <c r="A241" s="30" t="s">
        <v>173</v>
      </c>
      <c r="B241" s="49" t="s">
        <v>103</v>
      </c>
      <c r="C241" s="29">
        <f>SUM(C238:C240)</f>
        <v>988508.94000000018</v>
      </c>
      <c r="D241" s="29">
        <f t="shared" ref="D241:E241" si="27">SUM(D238:D240)</f>
        <v>-627685.22200000007</v>
      </c>
      <c r="E241" s="29">
        <f t="shared" si="27"/>
        <v>360823.71800000005</v>
      </c>
      <c r="F241" s="29">
        <f>SUM(F238:F240)</f>
        <v>366443.61999999976</v>
      </c>
      <c r="G241" s="11">
        <f>E241-F241</f>
        <v>-5619.9019999997108</v>
      </c>
      <c r="H241" s="11" t="s">
        <v>178</v>
      </c>
    </row>
    <row r="242" spans="1:8" s="12" customFormat="1" hidden="1" x14ac:dyDescent="0.3">
      <c r="A242" s="28" t="s">
        <v>177</v>
      </c>
      <c r="B242" s="45" t="s">
        <v>65</v>
      </c>
      <c r="C242" s="11">
        <v>60787.25</v>
      </c>
      <c r="D242" s="11"/>
      <c r="E242" s="11"/>
      <c r="F242" s="11">
        <v>60787.25</v>
      </c>
      <c r="G242" s="11"/>
      <c r="H242" s="11"/>
    </row>
    <row r="243" spans="1:8" s="12" customFormat="1" hidden="1" x14ac:dyDescent="0.3">
      <c r="A243" s="28"/>
      <c r="B243" s="52"/>
      <c r="C243" s="11"/>
      <c r="D243" s="11"/>
      <c r="E243" s="11"/>
      <c r="F243" s="11"/>
      <c r="G243" s="11"/>
      <c r="H243" s="11"/>
    </row>
    <row r="244" spans="1:8" s="12" customFormat="1" hidden="1" x14ac:dyDescent="0.3">
      <c r="A244" s="28"/>
      <c r="B244" s="52"/>
      <c r="C244" s="11"/>
      <c r="D244" s="11"/>
      <c r="E244" s="11"/>
      <c r="F244" s="11"/>
      <c r="G244" s="11"/>
      <c r="H244" s="11"/>
    </row>
    <row r="245" spans="1:8" hidden="1" x14ac:dyDescent="0.3">
      <c r="A245" s="30" t="s">
        <v>152</v>
      </c>
      <c r="B245" s="50" t="s">
        <v>166</v>
      </c>
      <c r="C245" s="44"/>
      <c r="D245" s="44"/>
      <c r="E245" s="44"/>
      <c r="F245" s="44">
        <v>-131400</v>
      </c>
      <c r="H245" s="6"/>
    </row>
    <row r="246" spans="1:8" hidden="1" x14ac:dyDescent="0.3">
      <c r="A246" s="30"/>
      <c r="B246" s="24" t="s">
        <v>84</v>
      </c>
      <c r="C246" s="44"/>
      <c r="D246" s="44"/>
      <c r="E246" s="44"/>
      <c r="F246" s="44">
        <f>F229+F245</f>
        <v>-36874.580000000191</v>
      </c>
      <c r="H246" s="6"/>
    </row>
    <row r="247" spans="1:8" hidden="1" x14ac:dyDescent="0.3">
      <c r="A247" s="30"/>
      <c r="B247" s="24"/>
      <c r="C247" s="44"/>
      <c r="D247" s="44"/>
      <c r="E247" s="44"/>
      <c r="F247" s="44"/>
      <c r="H247" s="6"/>
    </row>
    <row r="248" spans="1:8" ht="28.8" hidden="1" x14ac:dyDescent="0.3">
      <c r="A248" s="28"/>
      <c r="B248" s="12"/>
      <c r="C248" s="34"/>
      <c r="D248" s="34"/>
      <c r="E248" s="34" t="s">
        <v>121</v>
      </c>
      <c r="F248" s="11"/>
      <c r="H248" s="6"/>
    </row>
    <row r="249" spans="1:8" hidden="1" x14ac:dyDescent="0.3">
      <c r="A249" s="12"/>
      <c r="B249" s="40" t="s">
        <v>139</v>
      </c>
      <c r="C249" s="11"/>
      <c r="D249" s="11"/>
      <c r="E249" s="11"/>
      <c r="F249" s="48">
        <v>-262800</v>
      </c>
      <c r="H249" s="6"/>
    </row>
    <row r="250" spans="1:8" hidden="1" x14ac:dyDescent="0.3">
      <c r="B250" s="31" t="s">
        <v>104</v>
      </c>
      <c r="C250" s="6"/>
      <c r="D250" s="6"/>
      <c r="E250" s="6"/>
      <c r="F250" s="6">
        <v>250000</v>
      </c>
      <c r="H250" s="6"/>
    </row>
    <row r="251" spans="1:8" s="20" customFormat="1" ht="15" hidden="1" thickBot="1" x14ac:dyDescent="0.35">
      <c r="B251" s="24" t="s">
        <v>84</v>
      </c>
      <c r="C251" s="25"/>
      <c r="D251" s="25"/>
      <c r="E251" s="25"/>
      <c r="F251" s="26">
        <f>F223+F245</f>
        <v>275689.80999999971</v>
      </c>
      <c r="G251" s="21"/>
      <c r="H251" s="21"/>
    </row>
    <row r="252" spans="1:8" ht="15" hidden="1" thickTop="1" x14ac:dyDescent="0.3">
      <c r="A252" s="28" t="s">
        <v>135</v>
      </c>
      <c r="B252" s="12" t="s">
        <v>136</v>
      </c>
      <c r="C252" s="11"/>
      <c r="D252" s="11"/>
      <c r="E252" s="11"/>
      <c r="F252" s="11">
        <v>250000</v>
      </c>
      <c r="H252" s="6"/>
    </row>
    <row r="253" spans="1:8" hidden="1" x14ac:dyDescent="0.3">
      <c r="C253" s="6"/>
      <c r="D253" s="6"/>
      <c r="E253" s="6"/>
      <c r="H253" s="6"/>
    </row>
    <row r="254" spans="1:8" hidden="1" x14ac:dyDescent="0.3">
      <c r="C254" s="6"/>
      <c r="D254" s="6"/>
      <c r="E254" s="6"/>
      <c r="H254" s="6"/>
    </row>
    <row r="255" spans="1:8" hidden="1" x14ac:dyDescent="0.3">
      <c r="C255" s="6"/>
      <c r="D255" s="6"/>
      <c r="F255" s="6">
        <f>SUM(F241:F242)</f>
        <v>427230.86999999976</v>
      </c>
    </row>
    <row r="256" spans="1:8" x14ac:dyDescent="0.3">
      <c r="A256" s="53" t="s">
        <v>177</v>
      </c>
      <c r="B256" t="s">
        <v>65</v>
      </c>
      <c r="C256" s="54">
        <v>101792.05</v>
      </c>
      <c r="E256">
        <v>101792.05</v>
      </c>
      <c r="F256" s="6">
        <v>101792.05</v>
      </c>
    </row>
    <row r="257" spans="1:6" x14ac:dyDescent="0.3">
      <c r="A257" s="53" t="s">
        <v>177</v>
      </c>
      <c r="B257" t="s">
        <v>179</v>
      </c>
      <c r="C257" s="54">
        <v>-29833.279999999999</v>
      </c>
      <c r="D257" s="54">
        <v>-10275.040000000001</v>
      </c>
      <c r="E257" s="54">
        <f>SUM(C257:D257)</f>
        <v>-40108.32</v>
      </c>
      <c r="F257" s="54">
        <f>-40108.32+-5620</f>
        <v>-45728.32</v>
      </c>
    </row>
    <row r="258" spans="1:6" x14ac:dyDescent="0.3">
      <c r="B258" t="s">
        <v>137</v>
      </c>
      <c r="C258" s="54">
        <f>C241+C256+C257</f>
        <v>1060467.7100000002</v>
      </c>
      <c r="D258" s="54">
        <f t="shared" ref="D258:F258" si="28">SUM(D241:D257)</f>
        <v>-637960.2620000001</v>
      </c>
      <c r="E258" s="54">
        <f>E241+E256+E257</f>
        <v>422507.44800000003</v>
      </c>
      <c r="F258" s="54">
        <f>F241+F256+F257</f>
        <v>422507.34999999974</v>
      </c>
    </row>
    <row r="259" spans="1:6" x14ac:dyDescent="0.3">
      <c r="C259" s="54"/>
      <c r="D259" s="54"/>
      <c r="E259" s="54"/>
      <c r="F259" s="54"/>
    </row>
    <row r="260" spans="1:6" x14ac:dyDescent="0.3">
      <c r="C260" s="54"/>
      <c r="D260" s="54"/>
      <c r="E260" s="54"/>
      <c r="F260" s="54"/>
    </row>
    <row r="261" spans="1:6" x14ac:dyDescent="0.3">
      <c r="C261" s="54"/>
      <c r="D261" s="54"/>
      <c r="E261" s="54"/>
      <c r="F261" s="54"/>
    </row>
    <row r="262" spans="1:6" x14ac:dyDescent="0.3">
      <c r="C262" s="54"/>
      <c r="D262" s="54"/>
      <c r="E262" s="54"/>
      <c r="F262" s="54"/>
    </row>
    <row r="263" spans="1:6" x14ac:dyDescent="0.3">
      <c r="C263" s="54"/>
      <c r="D263" s="54"/>
      <c r="E263" s="54"/>
      <c r="F263" s="54"/>
    </row>
    <row r="264" spans="1:6" x14ac:dyDescent="0.3">
      <c r="C264" s="54"/>
      <c r="D264" s="54"/>
      <c r="E264" s="54"/>
      <c r="F264" s="54"/>
    </row>
  </sheetData>
  <pageMargins left="0.2" right="0.2" top="0.75" bottom="0.5" header="0.3" footer="0.3"/>
  <pageSetup scale="7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workbookViewId="0">
      <selection activeCell="E21" sqref="E21"/>
    </sheetView>
  </sheetViews>
  <sheetFormatPr defaultRowHeight="14.4" x14ac:dyDescent="0.3"/>
  <cols>
    <col min="1" max="1" width="44.33203125" bestFit="1" customWidth="1"/>
    <col min="2" max="2" width="4.88671875" customWidth="1"/>
    <col min="3" max="3" width="11.44140625" style="6" bestFit="1" customWidth="1"/>
    <col min="4" max="4" width="3.88671875" customWidth="1"/>
    <col min="5" max="5" width="45.6640625" customWidth="1"/>
    <col min="6" max="6" width="5.109375" customWidth="1"/>
    <col min="7" max="7" width="11.44140625" style="6" bestFit="1" customWidth="1"/>
    <col min="8" max="8" width="3.33203125" customWidth="1"/>
    <col min="9" max="9" width="21.109375" customWidth="1"/>
  </cols>
  <sheetData>
    <row r="1" spans="1:9" ht="43.2" x14ac:dyDescent="0.3">
      <c r="A1" s="33" t="s">
        <v>123</v>
      </c>
      <c r="E1" s="33" t="s">
        <v>122</v>
      </c>
      <c r="I1" s="35" t="s">
        <v>133</v>
      </c>
    </row>
    <row r="3" spans="1:9" x14ac:dyDescent="0.3">
      <c r="A3" t="s">
        <v>125</v>
      </c>
      <c r="C3" s="21">
        <v>615744.78999999969</v>
      </c>
      <c r="D3" t="s">
        <v>128</v>
      </c>
      <c r="E3" t="s">
        <v>125</v>
      </c>
      <c r="G3" s="21">
        <v>-610050.53</v>
      </c>
      <c r="H3" t="s">
        <v>128</v>
      </c>
      <c r="I3" s="21">
        <f>C3+G3</f>
        <v>5694.2599999996601</v>
      </c>
    </row>
    <row r="4" spans="1:9" x14ac:dyDescent="0.3">
      <c r="A4" t="s">
        <v>107</v>
      </c>
      <c r="C4" s="6">
        <v>-25542.5</v>
      </c>
      <c r="E4" t="s">
        <v>107</v>
      </c>
      <c r="G4" s="6">
        <v>-96772.53</v>
      </c>
      <c r="I4" s="6">
        <f t="shared" ref="I4:I9" si="0">I3+C4+G4</f>
        <v>-116620.77000000034</v>
      </c>
    </row>
    <row r="5" spans="1:9" x14ac:dyDescent="0.3">
      <c r="A5" t="s">
        <v>119</v>
      </c>
      <c r="C5" s="6">
        <v>-324873</v>
      </c>
      <c r="E5" t="s">
        <v>113</v>
      </c>
      <c r="G5" s="6">
        <v>-286880</v>
      </c>
      <c r="I5" s="6">
        <f t="shared" si="0"/>
        <v>-728373.77000000037</v>
      </c>
    </row>
    <row r="6" spans="1:9" x14ac:dyDescent="0.3">
      <c r="A6" t="s">
        <v>118</v>
      </c>
      <c r="C6" s="6">
        <v>42243.39</v>
      </c>
      <c r="E6" t="s">
        <v>109</v>
      </c>
      <c r="G6" s="6">
        <v>373165.66</v>
      </c>
      <c r="I6" s="6">
        <f t="shared" si="0"/>
        <v>-312964.72000000038</v>
      </c>
    </row>
    <row r="7" spans="1:9" x14ac:dyDescent="0.3">
      <c r="A7" t="s">
        <v>120</v>
      </c>
      <c r="C7" s="6">
        <v>-66106.5</v>
      </c>
      <c r="E7" t="s">
        <v>116</v>
      </c>
      <c r="G7" s="6">
        <v>101342.42</v>
      </c>
      <c r="I7" s="6">
        <f t="shared" si="0"/>
        <v>-277728.8000000004</v>
      </c>
    </row>
    <row r="8" spans="1:9" x14ac:dyDescent="0.3">
      <c r="A8" s="12" t="s">
        <v>131</v>
      </c>
      <c r="B8" s="12"/>
      <c r="C8" s="11">
        <f>21968.85+4215.99</f>
        <v>26184.839999999997</v>
      </c>
      <c r="E8" s="16" t="s">
        <v>110</v>
      </c>
      <c r="F8" s="16"/>
      <c r="G8" s="36">
        <v>250000</v>
      </c>
      <c r="I8" s="6">
        <f t="shared" si="0"/>
        <v>-1543.9600000003993</v>
      </c>
    </row>
    <row r="9" spans="1:9" x14ac:dyDescent="0.3">
      <c r="A9" t="s">
        <v>114</v>
      </c>
      <c r="C9" s="6">
        <v>-100000</v>
      </c>
      <c r="E9" t="s">
        <v>114</v>
      </c>
      <c r="G9" s="6">
        <v>-50000</v>
      </c>
      <c r="I9" s="6">
        <f t="shared" si="0"/>
        <v>-151543.9600000004</v>
      </c>
    </row>
    <row r="10" spans="1:9" x14ac:dyDescent="0.3">
      <c r="A10" s="5" t="s">
        <v>106</v>
      </c>
      <c r="B10" s="5"/>
      <c r="C10" s="29">
        <f>SUM(C3:C9)</f>
        <v>167651.01999999967</v>
      </c>
      <c r="D10" s="5"/>
      <c r="E10" s="5" t="s">
        <v>106</v>
      </c>
      <c r="F10" s="5"/>
      <c r="G10" s="29">
        <f>SUM(G3:G9)</f>
        <v>-319194.98000000016</v>
      </c>
      <c r="H10" s="5"/>
      <c r="I10" s="29">
        <f>C10+G10</f>
        <v>-151543.96000000049</v>
      </c>
    </row>
    <row r="12" spans="1:9" x14ac:dyDescent="0.3">
      <c r="A12" t="s">
        <v>124</v>
      </c>
      <c r="C12" s="6">
        <v>322616.87</v>
      </c>
      <c r="E12" t="s">
        <v>111</v>
      </c>
      <c r="G12" s="6">
        <v>339700</v>
      </c>
      <c r="I12" s="6">
        <f>I10+C12+G12</f>
        <v>510772.90999999951</v>
      </c>
    </row>
    <row r="13" spans="1:9" x14ac:dyDescent="0.3">
      <c r="E13" t="s">
        <v>117</v>
      </c>
      <c r="G13" s="6">
        <v>135000</v>
      </c>
      <c r="I13" s="6">
        <f>I12+G13</f>
        <v>645772.90999999945</v>
      </c>
    </row>
    <row r="14" spans="1:9" x14ac:dyDescent="0.3">
      <c r="E14" t="s">
        <v>115</v>
      </c>
      <c r="G14" s="6">
        <v>60000</v>
      </c>
      <c r="I14" s="6">
        <f>I13+G14</f>
        <v>705772.90999999945</v>
      </c>
    </row>
    <row r="15" spans="1:9" x14ac:dyDescent="0.3">
      <c r="A15" t="s">
        <v>108</v>
      </c>
      <c r="C15" s="6">
        <v>-200000</v>
      </c>
      <c r="E15" t="s">
        <v>108</v>
      </c>
      <c r="G15" s="6">
        <v>-90000</v>
      </c>
      <c r="I15" s="6">
        <f>I14+C15+G15</f>
        <v>415772.90999999945</v>
      </c>
    </row>
    <row r="16" spans="1:9" x14ac:dyDescent="0.3">
      <c r="A16" t="s">
        <v>112</v>
      </c>
      <c r="E16" s="16" t="s">
        <v>112</v>
      </c>
      <c r="F16" s="16"/>
      <c r="G16" s="36">
        <v>-250000</v>
      </c>
      <c r="I16" s="6">
        <f>I15+G16</f>
        <v>165772.90999999945</v>
      </c>
    </row>
    <row r="17" spans="1:9" ht="15" thickBot="1" x14ac:dyDescent="0.35">
      <c r="A17" s="20" t="s">
        <v>126</v>
      </c>
      <c r="C17" s="32">
        <f>SUM(C10:C16)</f>
        <v>290267.88999999966</v>
      </c>
      <c r="E17" s="20" t="s">
        <v>127</v>
      </c>
      <c r="G17" s="32">
        <f>SUM(G10:G16)</f>
        <v>-124494.98000000016</v>
      </c>
      <c r="I17" s="32">
        <f>C17+G17</f>
        <v>165772.90999999951</v>
      </c>
    </row>
    <row r="18" spans="1:9" ht="15" thickTop="1" x14ac:dyDescent="0.3"/>
    <row r="20" spans="1:9" x14ac:dyDescent="0.3">
      <c r="A20" t="s">
        <v>129</v>
      </c>
      <c r="E20" s="43"/>
    </row>
    <row r="21" spans="1:9" x14ac:dyDescent="0.3">
      <c r="A21" s="19" t="s">
        <v>132</v>
      </c>
    </row>
    <row r="22" spans="1:9" x14ac:dyDescent="0.3">
      <c r="A22" t="s">
        <v>130</v>
      </c>
    </row>
    <row r="23" spans="1:9" x14ac:dyDescent="0.3">
      <c r="A23" t="s">
        <v>134</v>
      </c>
    </row>
    <row r="24" spans="1:9" x14ac:dyDescent="0.3">
      <c r="D24" s="21"/>
    </row>
    <row r="26" spans="1:9" x14ac:dyDescent="0.3">
      <c r="A26" s="37"/>
      <c r="B26" s="38"/>
      <c r="C26" s="39"/>
      <c r="D26" s="39"/>
      <c r="E26" s="39"/>
    </row>
    <row r="27" spans="1:9" x14ac:dyDescent="0.3">
      <c r="A27" s="37"/>
      <c r="B27" s="40"/>
      <c r="C27" s="39"/>
      <c r="D27" s="39"/>
      <c r="E27" s="39"/>
    </row>
    <row r="28" spans="1:9" x14ac:dyDescent="0.3">
      <c r="A28" s="37"/>
      <c r="B28" s="40"/>
      <c r="C28" s="39"/>
      <c r="D28" s="39"/>
      <c r="E28" s="39"/>
    </row>
    <row r="29" spans="1:9" x14ac:dyDescent="0.3">
      <c r="A29" s="37"/>
      <c r="B29" s="41"/>
      <c r="C29" s="39"/>
      <c r="D29" s="39"/>
      <c r="E29" s="39"/>
    </row>
    <row r="30" spans="1:9" x14ac:dyDescent="0.3">
      <c r="A30" s="37"/>
      <c r="B30" s="38"/>
      <c r="C30" s="42"/>
      <c r="D30" s="42"/>
      <c r="E30" s="42"/>
    </row>
  </sheetData>
  <pageMargins left="0.7" right="0.7" top="0.75" bottom="0.75" header="0.3" footer="0.3"/>
  <pageSetup orientation="portrait" horizontalDpi="4294967293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Cash Balance</vt:lpstr>
      <vt:lpstr>MO_WD cash projection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</dc:creator>
  <cp:lastModifiedBy>Marti</cp:lastModifiedBy>
  <cp:lastPrinted>2018-06-13T20:55:11Z</cp:lastPrinted>
  <dcterms:created xsi:type="dcterms:W3CDTF">2016-01-24T14:34:31Z</dcterms:created>
  <dcterms:modified xsi:type="dcterms:W3CDTF">2018-06-14T22:05:14Z</dcterms:modified>
</cp:coreProperties>
</file>